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0"/>
  </bookViews>
  <sheets>
    <sheet name="Ввод данных" sheetId="1" r:id="rId1"/>
    <sheet name="Ведомость материалов" sheetId="2" r:id="rId2"/>
    <sheet name="Смета на строительство" sheetId="3" r:id="rId3"/>
    <sheet name="ПЗ к смете" sheetId="4" r:id="rId4"/>
    <sheet name="Смета на ежегодное обслуживание" sheetId="5" r:id="rId5"/>
  </sheets>
  <definedNames>
    <definedName name="Constr" localSheetId="2">'Смета на строительство'!$A$1</definedName>
    <definedName name="FOT" localSheetId="2">'Смета на строительство'!$B$11</definedName>
    <definedName name="Ind" localSheetId="2">'Смета на строительство'!$B$6</definedName>
    <definedName name="Obj" localSheetId="2">'Смета на строительство'!#REF!</definedName>
    <definedName name="Obosn" localSheetId="2">'Смета на строительство'!#REF!</definedName>
    <definedName name="SmPr" localSheetId="2">'Смета на строительство'!$B$10</definedName>
    <definedName name="_xlnm.Print_Titles" localSheetId="2">'Смета на строительство'!$18:$18</definedName>
  </definedNames>
  <calcPr fullCalcOnLoad="1"/>
</workbook>
</file>

<file path=xl/sharedStrings.xml><?xml version="1.0" encoding="utf-8"?>
<sst xmlns="http://schemas.openxmlformats.org/spreadsheetml/2006/main" count="231" uniqueCount="165">
  <si>
    <t xml:space="preserve">ЛОКАЛЬНЫЙ СМЕТНЫЙ РАСЧЕТ № 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</si>
  <si>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</si>
  <si>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</si>
  <si>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</si>
  <si>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</si>
  <si>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</si>
  <si>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</si>
  <si>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</si>
  <si>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</si>
  <si>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</si>
  <si>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</si>
  <si>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</si>
  <si>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</si>
  <si>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</si>
  <si>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</si>
  <si>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</si>
  <si>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</si>
  <si>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r>
      <t>ФЕР01-02-005-01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</si>
  <si>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ФЕР42-01-020-01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</si>
  <si>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ФССЦ-01.7.12.05-0059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</si>
  <si>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ФССЦ-05.2.04.02-0003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</si>
  <si>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ФССЦ-08.4.03.03-0031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</si>
  <si>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ФЕР13-03-004-28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</si>
  <si>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ФЕР05-03-003-08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</si>
  <si>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ФСЭМ-91.18.01-007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</si>
  <si>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ФСЭМ-91.21.10-003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</si>
  <si>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Молотки при работе от передвижных компрессорных станций: отбойные пневматические
(маш.-ч)</t>
    </r>
    <r>
      <rPr>
        <i/>
        <sz val="7"/>
        <rFont val="Arial"/>
        <family val="2"/>
      </rPr>
      <t xml:space="preserve">
НР 87% от ФОТ
СП 60% от ФОТ</t>
    </r>
  </si>
  <si>
    <t>Накладные расходы</t>
  </si>
  <si>
    <t>Сметная прибыль</t>
  </si>
  <si>
    <t>ВСЕГО по смете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</si>
  <si>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</si>
  <si>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</si>
  <si>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</si>
  <si>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</si>
  <si>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</si>
  <si>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</si>
  <si>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</si>
  <si>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тыс. руб.</t>
  </si>
  <si>
    <t>чел.час</t>
  </si>
  <si>
    <t>Сметная стоимость строительных работ</t>
  </si>
  <si>
    <t xml:space="preserve">Средства на оплату труда </t>
  </si>
  <si>
    <t xml:space="preserve">Сметная трудоемкость </t>
  </si>
  <si>
    <t>Итого прямые затраты по смете в ценах 2001 г.</t>
  </si>
  <si>
    <t>Раздел 2. Основные объекты строительства</t>
  </si>
  <si>
    <t>Глава 9. Прочие затраты и работы</t>
  </si>
  <si>
    <t>5</t>
  </si>
  <si>
    <t>6</t>
  </si>
  <si>
    <t>7</t>
  </si>
  <si>
    <t>2.1</t>
  </si>
  <si>
    <t>3</t>
  </si>
  <si>
    <t>4</t>
  </si>
  <si>
    <t>Нетканый геотекстиль: Дорнит 500 г/кв.м (взамен сторнированной полиэтиленовой пленки)
(кв.м)</t>
  </si>
  <si>
    <t>4.1</t>
  </si>
  <si>
    <t>4.2</t>
  </si>
  <si>
    <t>4.3</t>
  </si>
  <si>
    <t>Горячекатаная арматурная сталь периодического профиля класса: А-III, диаметром 10 мм (взамен сторнированных арматурных накладок)
(т)</t>
  </si>
  <si>
    <t>ЕНиР23.1-14-3-04-Б</t>
  </si>
  <si>
    <t>ТУ 25.11.23.119-004-59565714-2017 (шт.)</t>
  </si>
  <si>
    <r>
      <t>Соединение двух ДМК методом опрессовки алюминиевой втулкой ручным гидравлическим прессом (применительно) (1 соединение )</t>
    </r>
    <r>
      <rPr>
        <i/>
        <sz val="7"/>
        <rFont val="Arial"/>
        <family val="2"/>
      </rPr>
      <t xml:space="preserve">
НР 95% от ФОТ
СП 65% от ФОТ</t>
    </r>
  </si>
  <si>
    <t>3.1</t>
  </si>
  <si>
    <t>Строительство берегоукрепительных гидротехнических сооружений</t>
  </si>
  <si>
    <r>
      <t>ФЕР42-01-006-01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</si>
  <si>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ФЕР42-01-006-02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</si>
  <si>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ФССЦ-02.2.05.04-0079</t>
    </r>
    <r>
      <rPr>
        <i/>
        <sz val="9"/>
        <rFont val="Arial"/>
        <family val="2"/>
      </rPr>
      <t xml:space="preserve">
Приказ Минстроя России от 30.12.2016 №1039/пр</t>
    </r>
  </si>
  <si>
    <t>Щебень из природного камня для строительных работ марка: 400, фракция 5 (3)-20 мм
(м3)</t>
  </si>
  <si>
    <t>7.1</t>
  </si>
  <si>
    <t>7.2</t>
  </si>
  <si>
    <t>8</t>
  </si>
  <si>
    <r>
      <t>Уплотнение грунта пневматическими трамбовками, группа грунтов: 1-2 (глубина уплотнения 40 см)
(100 куб.м)</t>
    </r>
    <r>
      <rPr>
        <i/>
        <sz val="7"/>
        <rFont val="Arial"/>
        <family val="2"/>
      </rPr>
      <t xml:space="preserve">
НР: 95% от ФОТ
СП: 50% от ФОТ</t>
    </r>
  </si>
  <si>
    <r>
      <t>Устройство противофильтрационного экрана из полиэтиленовой пленки (стоимость полиэтиленовой пленки сторнирована)
(100 кв.м)</t>
    </r>
    <r>
      <rPr>
        <i/>
        <sz val="7"/>
        <rFont val="Arial"/>
        <family val="2"/>
      </rPr>
      <t xml:space="preserve">
НР: 89% от ФОТ
СП: 70% от ФОТ</t>
    </r>
  </si>
  <si>
    <r>
      <t>Забивка анкеров в грунт 2 группы при глубине до 4 м  (100 м)</t>
    </r>
    <r>
      <rPr>
        <i/>
        <sz val="7"/>
        <rFont val="Arial"/>
        <family val="2"/>
      </rPr>
      <t xml:space="preserve">
1 364,36 = 8 617,99-4,13*62,01-21,53*311,15-0,01*89,99-0,07*2,44-0,072*412-2,75*97,36
НР: 87% от ФОТ
СП: 60% от ФОТ</t>
    </r>
  </si>
  <si>
    <r>
      <t>Компрессоры передвижные с двигателем внутреннего сгорания, давлением до 686 кПа (7 ат), производит. до 5 куб.м/мин
(маш.-ч)</t>
    </r>
    <r>
      <rPr>
        <i/>
        <sz val="7"/>
        <rFont val="Arial"/>
        <family val="2"/>
      </rPr>
      <t xml:space="preserve">
НР: 87% от ФОТ
СП: 60% от ФОТ</t>
    </r>
  </si>
  <si>
    <r>
      <t>Засыпка зазоров между плитами-Устройство подстилающего слоя из щебня (гравия, песка) насухо вручную слоем толщиной 20 см (применительно)
(100 м2)</t>
    </r>
    <r>
      <rPr>
        <i/>
        <sz val="7"/>
        <rFont val="Arial"/>
        <family val="2"/>
      </rPr>
      <t xml:space="preserve">
НР: 89% от ФОТ
СП: 70% от ФОТ</t>
    </r>
  </si>
  <si>
    <t>На каждые 5 см изменения толщины подстилающего слоя добавлять или исключать к расценке 42-01-006-01
(100 м2)
(до т.7см ПЗ=2,6 (ОЗП=2,6; ЭМ=2,6 к расх.; ЗПМ=2,6; МАТ=2,6 к расх.; ТЗ=2,6; ТЗМ=2,6))
НР: 89% от ФОТ
СП: 70% от ФОТ</t>
  </si>
  <si>
    <t>шт.</t>
  </si>
  <si>
    <t>Коэффициент индексации</t>
  </si>
  <si>
    <t>Составлен в ценах по состоянию на 2001 год</t>
  </si>
  <si>
    <t>Ячейки для ввода данных</t>
  </si>
  <si>
    <t>Внимание!</t>
  </si>
  <si>
    <t>Результаты автоматического вычисления</t>
  </si>
  <si>
    <r>
      <t xml:space="preserve">Заложение откоса, </t>
    </r>
    <r>
      <rPr>
        <b/>
        <sz val="16"/>
        <color indexed="12"/>
        <rFont val="Arial Cyr"/>
        <family val="0"/>
      </rPr>
      <t>рекомендуется 1:2</t>
    </r>
  </si>
  <si>
    <t>Количество ГБ-плит марки ПБЗГУ:</t>
  </si>
  <si>
    <t>Длина берегоукрепления, м</t>
  </si>
  <si>
    <t>Высота защищаемого откоса по вертикали, м</t>
  </si>
  <si>
    <t>всего, шт.</t>
  </si>
  <si>
    <r>
      <t>(одна бригада в одну смену)</t>
    </r>
    <r>
      <rPr>
        <b/>
        <sz val="16"/>
        <color indexed="10"/>
        <rFont val="Arial Cyr"/>
        <family val="0"/>
      </rPr>
      <t>, дни</t>
    </r>
  </si>
  <si>
    <t>по ширине откоса, шт.</t>
  </si>
  <si>
    <t>по длине откоса, шт.</t>
  </si>
  <si>
    <t>Срок монтажа ГБ-плит марки ПБЗГУ</t>
  </si>
  <si>
    <t>Стоимость берегоукрепительных работ:</t>
  </si>
  <si>
    <t>в ценах 01.01.2001, руб.</t>
  </si>
  <si>
    <t>в текущих ценах, руб.</t>
  </si>
  <si>
    <t>кв.м</t>
  </si>
  <si>
    <t>т</t>
  </si>
  <si>
    <t>Горячекатаная арматурная сталь периодического профиля класса: А-III, диаметром 10 мм</t>
  </si>
  <si>
    <t>кг</t>
  </si>
  <si>
    <t>Щебень из природного камня для строительных работ марка: 400, фракция 5 (3)-20 мм</t>
  </si>
  <si>
    <t>куб.м</t>
  </si>
  <si>
    <t>№</t>
  </si>
  <si>
    <t>п/п</t>
  </si>
  <si>
    <t>Наименование материала</t>
  </si>
  <si>
    <t>Ед.</t>
  </si>
  <si>
    <t>изм.</t>
  </si>
  <si>
    <t>Ведомость материалов</t>
  </si>
  <si>
    <t>Непредвиденные затраты</t>
  </si>
  <si>
    <t>НДС</t>
  </si>
  <si>
    <t>Временные здания и сооружения</t>
  </si>
  <si>
    <r>
      <t>предпроектного</t>
    </r>
    <r>
      <rPr>
        <b/>
        <sz val="18"/>
        <color indexed="12"/>
        <rFont val="Arial Cyr"/>
        <family val="0"/>
      </rPr>
      <t xml:space="preserve"> расчета стоимости берегоукрепительного сооружения</t>
    </r>
  </si>
  <si>
    <t>Ячейки со значениями из нормативов</t>
  </si>
  <si>
    <t>ремонтно-аварийный запас, %</t>
  </si>
  <si>
    <t>по подготовленному и спланированному откосу</t>
  </si>
  <si>
    <t>Калькулятор</t>
  </si>
  <si>
    <t xml:space="preserve">Нетканый геотекстиль типа "Дорнит" 500 г/кв.м </t>
  </si>
  <si>
    <t>Пояснительная записка к локальному сметному расчету</t>
  </si>
  <si>
    <r>
      <t>1. Сметная документация составлена базисно-индексным методом на основании МДС 81-35.2004</t>
    </r>
    <r>
      <rPr>
        <b/>
        <vertAlign val="superscript"/>
        <sz val="14"/>
        <rFont val="Times New Roman"/>
        <family val="1"/>
      </rPr>
      <t>1</t>
    </r>
    <r>
      <rPr>
        <sz val="12"/>
        <rFont val="Times New Roman"/>
        <family val="1"/>
      </rPr>
      <t xml:space="preserve"> с применением сборников ФЕР-2017 в базисном уровне цен по состоянию на 01.01. 2001.</t>
    </r>
  </si>
  <si>
    <t>2. Сметная документация не учитывает работы по планировке откоса.</t>
  </si>
  <si>
    <t>3. Сметная  документация учитывает следующие виды работ:</t>
  </si>
  <si>
    <t>3.1. Уплотнение грунта пневматическими трамбовками на глубину 40 см. При выполнении данных работ минимизируется проседание грунта берегового откоса в процессе монтажа ГБ-плит и последующей эксплуатации берегоукрепительных сооружений.</t>
  </si>
  <si>
    <t>3.2. Устройство противофильтрационного экрана в виде геотекстильного синтетического материала типа «Дорнит». При выполнении данных работ обустраивается противосуффозионный экран, который будет препятствовать вымыванию грунта подземными и поверхностными водами (ручьями) из берегового склона.</t>
  </si>
  <si>
    <t>При применении нормы была произведена заменена полиэтиленовой пленки на геотекстильный синтетический материал типа «Дорнит» (код ресурса ФССЦ-01.7.12.05-0059).</t>
  </si>
  <si>
    <t>Исходя из особенностей комплектования объекта строительства в обусловленные государственным контрактом сроки, к поставкам ГБ-плит одновременно привлекаются несколько бетонных заводов, которые на условиях субподряда привлекает поставщик ГБ-плит. В связи с тем, что для производства ГБ-плит подходят только бетонные заводы, обладающие высокой культурой производства, которые могут гарантированно обеспечить надлежащее качество бетонных изделий, к поставкам привлекаются бетонные заводы из разных регионов. При этом в отсутствии стабильности заказов на производство ГБ-плит, бетонные заводы производят иные бетонные изделия. Соответственно, заранее невозможно определить, какие именно бетонные заводы будут задействованы в производстве ГБ-плит с поставкой на объект капитального строительства.</t>
  </si>
  <si>
    <t>В свою очередь, если вопросы о привлечении тех или иных бетонных заводов для производства ГБ-плит решаются уже в период строительства, то на стадии проектирования невозможно правильно применить индексы изменения сметной стоимости, так как в каждом регионе сложились свои индексы изменения сметной стоимости на материалы.</t>
  </si>
  <si>
    <t xml:space="preserve">В таких случаях на основании абз.2 п.4.85 МДС 81-35.2004 расходы на приобретение и транспортировку ГБП должны быть отнесены в главу 9 «Прочие работы и затраты» сводного сметного расчета на строительство. </t>
  </si>
  <si>
    <t>3.4. Забивка анкеров в грунт.</t>
  </si>
  <si>
    <t>При применении нормы из расценки были удалены станки и установки буровые, вода портландцемент, трубы бурильные. В расценку дополнительно включены расходы по использованию молотков, работающих от передвижных компрессорных станций, и компрессорную станцию передвижную с двигателем внутреннего сгорания производительностью до 5 куб.м/мин.</t>
  </si>
  <si>
    <t>3.5. Соединение двух ДМК соседних ГБ-плит методом опрессовки алюминиевой втулки.</t>
  </si>
  <si>
    <t>Наиболее близкая по своей сути операция применяется при соединении кабелей. Из расценки были удалены все не свойственные затраты (материалы и пр.) и соразмерно уменьшены затраты на оплату труда.</t>
  </si>
  <si>
    <t>3.6. Антикоррозионная защита сварных соединений грунт-краской.</t>
  </si>
  <si>
    <t>Операция предназначена для продления срока службы сварных соединений до нормативных значений.</t>
  </si>
  <si>
    <t>3.7. Защита геотекстильного синтетического материала типа «Дорнит» и соединительного арматурного каната щебнем.</t>
  </si>
  <si>
    <t>Под воздействием солнечных лучей синтетические материалы подвержены деструкции (разрушению). С целью исключения (минимизации) воздействия солнечных лучей на геотекстильный синтетический материал типа «Дорнит» и соединительный арматурный канат, зазоры между бетонными блоками ГБ-плиты перекрываются слоем щебня фракции 5(3)-20 слоем около 30-50 мм. Под воздействием природных факторов (ветер, вода, гравитация, пыль) происходит самоуплотнение и заклинивание нижних слоев щебня в зазорах бетонных блоков.</t>
  </si>
  <si>
    <t>_______________________________</t>
  </si>
  <si>
    <r>
      <t xml:space="preserve">1 </t>
    </r>
    <r>
      <rPr>
        <sz val="10"/>
        <color indexed="8"/>
        <rFont val="Times New Roman"/>
        <family val="1"/>
      </rPr>
      <t xml:space="preserve">– </t>
    </r>
    <r>
      <rPr>
        <sz val="10"/>
        <rFont val="Times New Roman"/>
        <family val="1"/>
      </rPr>
      <t>МДС 81-35.</t>
    </r>
    <r>
      <rPr>
        <sz val="10"/>
        <color indexed="8"/>
        <rFont val="Times New Roman"/>
        <family val="1"/>
      </rPr>
      <t>2004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– Методика определения стоимости строительной продукции на территории Российской Федерации, утвержденная постановлением Госстроя России от 05.03.04 № 15/1.</t>
    </r>
  </si>
  <si>
    <r>
      <t xml:space="preserve">2 </t>
    </r>
    <r>
      <rPr>
        <sz val="10"/>
        <color indexed="8"/>
        <rFont val="Times New Roman"/>
        <family val="1"/>
      </rPr>
      <t xml:space="preserve">– </t>
    </r>
    <r>
      <rPr>
        <sz val="10"/>
        <rFont val="Times New Roman"/>
        <family val="1"/>
      </rPr>
      <t>МДС 81-33.2004 – Методические указания по определению величины накладных расходов в строительстве,</t>
    </r>
    <r>
      <rPr>
        <sz val="10"/>
        <color indexed="8"/>
        <rFont val="Times New Roman"/>
        <family val="1"/>
      </rPr>
      <t xml:space="preserve"> утвержденные постановлением Госстроя России от 12.01.04 № 6.</t>
    </r>
  </si>
  <si>
    <r>
      <t xml:space="preserve">3 </t>
    </r>
    <r>
      <rPr>
        <sz val="10"/>
        <color indexed="8"/>
        <rFont val="Times New Roman"/>
        <family val="1"/>
      </rPr>
      <t xml:space="preserve">– </t>
    </r>
    <r>
      <rPr>
        <sz val="10"/>
        <rFont val="Times New Roman"/>
        <family val="1"/>
      </rPr>
      <t>МДС 81-25.</t>
    </r>
    <r>
      <rPr>
        <sz val="10"/>
        <color indexed="8"/>
        <rFont val="Times New Roman"/>
        <family val="1"/>
      </rPr>
      <t>2004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– Методические указания по определению сметной прибыли в строительстве, утвержденные постановлением Госстроя России от 28.02.01 № 15.</t>
    </r>
  </si>
  <si>
    <t xml:space="preserve">укрепление спланированного откоса </t>
  </si>
  <si>
    <t>Грунт-краска STELPANT-PU-ZINC или аналог</t>
  </si>
  <si>
    <t>10,24</t>
  </si>
  <si>
    <t>В соответствии с п.2.42.1 ФЕР 81-02-42-2001 "Берегоукрепительные работы" объем крепления откосов гидротехнических сооружений и каналов необходимо определять исходя из геометрических размеров крепежных материалов, по каждому виду раздельно. Исходя из этого в локальном сметном расчете использован габаритный объем ГБ-плит.</t>
  </si>
  <si>
    <t>Ширина защищаемой поверхности по суше, м</t>
  </si>
  <si>
    <r>
      <t>Окраска металлических огрунтованных поверхностей: грунт-краской STELPANT-PU-ZINC (100 кв.м)</t>
    </r>
    <r>
      <rPr>
        <i/>
        <sz val="7"/>
        <rFont val="Arial"/>
        <family val="2"/>
      </rPr>
      <t xml:space="preserve">
(ОП п.1.13.7. При нанесении лакокрасочных материалов ручным способом ОЗП=1,1; ТЗ=1,1)
НР 90% от ФОТ
СП 70% от ФОТ</t>
    </r>
  </si>
  <si>
    <t>4. Локальный сметный расчет не учитывает расходы по доставке материалов до объекта строительства.</t>
  </si>
  <si>
    <t>Для расчета стоимости доставки ГБ-плит до объекта строительства надлежит принять усредненные транспортные расходы по доставке ГБ-плит из 5-7 ближайших к объекту строительства областных (краевых, республиканских) центров (городов). Например, если объект строительства находится на территории Башкортостана, то следует принять усредненные транспортные расходы по доставке ГБ-плит из Уфы, Челябинска, Екатеринбурга, Оренбурга, Казани, Перми и Ижевска.</t>
  </si>
  <si>
    <r>
      <t>5. Накладные расходы определены от фонда оплаты труда по видам строительно-монтажных работ в соответствии с МДС 81-33.2004</t>
    </r>
    <r>
      <rPr>
        <b/>
        <vertAlign val="superscript"/>
        <sz val="14"/>
        <rFont val="Times New Roman"/>
        <family val="1"/>
      </rPr>
      <t>2</t>
    </r>
    <r>
      <rPr>
        <sz val="12"/>
        <rFont val="Times New Roman"/>
        <family val="1"/>
      </rPr>
      <t>.</t>
    </r>
  </si>
  <si>
    <r>
      <t>6. Сметная прибыль определена от фонда оплаты труда по видам строительно-монтажных работ в соответствии с МДС 81-25.2001</t>
    </r>
    <r>
      <rPr>
        <b/>
        <vertAlign val="superscript"/>
        <sz val="14"/>
        <rFont val="Times New Roman"/>
        <family val="1"/>
      </rPr>
      <t>3</t>
    </r>
    <r>
      <rPr>
        <sz val="12"/>
        <rFont val="Times New Roman"/>
        <family val="1"/>
      </rPr>
      <t>.</t>
    </r>
  </si>
  <si>
    <t>Стоимость 1 кв.м  с учетом габаритов ГБ-плит и защиты подводной части откоса в ценах по состоянию на 01.01.2001</t>
  </si>
  <si>
    <t>Стоимость 1 кв.м (справочно) берегоукрепления в соответствии с ТЗ в ценах по состоянию на 01.01.2001</t>
  </si>
  <si>
    <r>
      <t>(работа полный световой день, одновременно работают три бригады монтажников и три автокрана)</t>
    </r>
    <r>
      <rPr>
        <b/>
        <sz val="16"/>
        <color indexed="10"/>
        <rFont val="Arial Cyr"/>
        <family val="0"/>
      </rPr>
      <t>, дни</t>
    </r>
  </si>
  <si>
    <t>Заложение откоса, в градусах (справочно)</t>
  </si>
  <si>
    <t>Толщина покрытия, 150 или 240 мм</t>
  </si>
  <si>
    <t>Марка ПБЗГУ</t>
  </si>
  <si>
    <t>150</t>
  </si>
  <si>
    <t>2</t>
  </si>
  <si>
    <t>Стоимость ежегодного обслуживания</t>
  </si>
  <si>
    <t>Срок до первого капитального ремонда, лет</t>
  </si>
  <si>
    <t>Расчетный срек эксплуатации, лет</t>
  </si>
  <si>
    <t>Эксплуатация берегоукрепительных гидротехнических сооружений</t>
  </si>
  <si>
    <t>Ширина защиты подножия откоса, м</t>
  </si>
  <si>
    <t xml:space="preserve">Анкер грунтовый модели АГ-1,5-20 (длина 1,5 м, квадрат 20 мм) </t>
  </si>
  <si>
    <t>На подводную часть откоса геотекстильный материал не укладывают. Допускается незначительное попадание геотекстильного материала под воду, обусловленное шириной рулона. Под водой ГБ-плиты укладываются непосредственно на грунт (дно водоема).</t>
  </si>
  <si>
    <t>Анкера забиваются вдоль верхнего края верхнего ряда ПБЗГУ и по нижнему краю ряда ПБЗБУ, уложенного по подножию берегового откоса (урезу воды).</t>
  </si>
  <si>
    <t>Верхний ряд анкеров обеспечивает закрепление (подвес) ПБЗГУ на защищаемом береговом откосе. Нижний ряд анкеров обеспечивает устойчивость ПБЗГУ под воздействием ледовой нагрузки.</t>
  </si>
  <si>
    <t>Цена поставщика (прайс-лист)</t>
  </si>
  <si>
    <t>Гарантийный срок эксплуатации, лет</t>
  </si>
  <si>
    <t>Максимально возможная глубина водотока у подножия откоса, 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</si>
</sst>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0.0000000"/>
    <numFmt numFmtId="180" formatCode="0.00000000"/>
    <numFmt numFmtId="181" formatCode="0.0%"/>
    <numFmt numFmtId="182" formatCode="_-* #,##0.0_р_._-;\-* #,##0.0_р_._-;_-* &quot;-&quot;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8"/>
      <color indexed="12"/>
      <name val="Arial Cyr"/>
      <family val="0"/>
    </font>
    <font>
      <b/>
      <sz val="16"/>
      <color indexed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b/>
      <sz val="12"/>
      <color indexed="12"/>
      <name val="Arial Cyr"/>
      <family val="0"/>
    </font>
    <font>
      <b/>
      <sz val="16"/>
      <color indexed="61"/>
      <name val="Arial Cyr"/>
      <family val="0"/>
    </font>
    <font>
      <b/>
      <sz val="18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right" vertical="top" wrapText="1"/>
    </xf>
    <xf numFmtId="43" fontId="4" fillId="0" borderId="11" xfId="6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top" wrapText="1"/>
    </xf>
    <xf numFmtId="43" fontId="9" fillId="0" borderId="10" xfId="0" applyNumberFormat="1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43" fontId="9" fillId="0" borderId="10" xfId="60" applyFont="1" applyFill="1" applyBorder="1" applyAlignment="1">
      <alignment horizontal="right" vertical="top" wrapText="1"/>
    </xf>
    <xf numFmtId="43" fontId="4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43" fontId="4" fillId="0" borderId="10" xfId="60" applyFont="1" applyFill="1" applyBorder="1" applyAlignment="1">
      <alignment vertical="center" wrapText="1"/>
    </xf>
    <xf numFmtId="43" fontId="4" fillId="0" borderId="10" xfId="6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43" fontId="4" fillId="0" borderId="10" xfId="60" applyFont="1" applyFill="1" applyBorder="1" applyAlignment="1">
      <alignment vertical="top" wrapText="1"/>
    </xf>
    <xf numFmtId="43" fontId="4" fillId="0" borderId="10" xfId="60" applyFont="1" applyFill="1" applyBorder="1" applyAlignment="1">
      <alignment horizontal="center" vertical="top" wrapText="1"/>
    </xf>
    <xf numFmtId="43" fontId="4" fillId="24" borderId="10" xfId="60" applyFont="1" applyFill="1" applyBorder="1" applyAlignment="1">
      <alignment vertical="top" wrapText="1"/>
    </xf>
    <xf numFmtId="0" fontId="4" fillId="24" borderId="0" xfId="0" applyFont="1" applyFill="1" applyAlignment="1">
      <alignment horizontal="right" vertical="top"/>
    </xf>
    <xf numFmtId="0" fontId="5" fillId="24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43" fontId="4" fillId="24" borderId="10" xfId="60" applyFont="1" applyFill="1" applyBorder="1" applyAlignment="1">
      <alignment horizontal="center" vertical="top" wrapText="1"/>
    </xf>
    <xf numFmtId="43" fontId="4" fillId="0" borderId="10" xfId="60" applyFont="1" applyFill="1" applyBorder="1" applyAlignment="1">
      <alignment horizontal="center" vertical="center"/>
    </xf>
    <xf numFmtId="43" fontId="3" fillId="0" borderId="12" xfId="60" applyFont="1" applyFill="1" applyBorder="1" applyAlignment="1">
      <alignment vertical="top" wrapText="1"/>
    </xf>
    <xf numFmtId="43" fontId="3" fillId="0" borderId="11" xfId="60" applyFont="1" applyFill="1" applyBorder="1" applyAlignment="1">
      <alignment vertical="top" wrapText="1"/>
    </xf>
    <xf numFmtId="43" fontId="4" fillId="0" borderId="10" xfId="60" applyFont="1" applyBorder="1" applyAlignment="1">
      <alignment horizontal="right" vertical="center" wrapText="1"/>
    </xf>
    <xf numFmtId="43" fontId="4" fillId="0" borderId="10" xfId="60" applyFont="1" applyBorder="1" applyAlignment="1">
      <alignment horizontal="center" vertical="top" wrapText="1"/>
    </xf>
    <xf numFmtId="43" fontId="4" fillId="0" borderId="10" xfId="60" applyFont="1" applyBorder="1" applyAlignment="1">
      <alignment horizontal="center" vertical="center" wrapText="1"/>
    </xf>
    <xf numFmtId="43" fontId="4" fillId="0" borderId="10" xfId="60" applyFont="1" applyBorder="1" applyAlignment="1">
      <alignment horizontal="right" vertical="top" wrapText="1"/>
    </xf>
    <xf numFmtId="0" fontId="0" fillId="20" borderId="0" xfId="0" applyFill="1" applyAlignment="1">
      <alignment/>
    </xf>
    <xf numFmtId="0" fontId="0" fillId="24" borderId="0" xfId="0" applyFill="1" applyAlignment="1">
      <alignment horizontal="center"/>
    </xf>
    <xf numFmtId="0" fontId="20" fillId="20" borderId="0" xfId="0" applyFont="1" applyFill="1" applyAlignment="1">
      <alignment horizontal="center"/>
    </xf>
    <xf numFmtId="0" fontId="21" fillId="20" borderId="0" xfId="0" applyFont="1" applyFill="1" applyAlignment="1">
      <alignment/>
    </xf>
    <xf numFmtId="0" fontId="20" fillId="24" borderId="13" xfId="0" applyFont="1" applyFill="1" applyBorder="1" applyAlignment="1">
      <alignment horizontal="center"/>
    </xf>
    <xf numFmtId="49" fontId="20" fillId="24" borderId="13" xfId="0" applyNumberFormat="1" applyFont="1" applyFill="1" applyBorder="1" applyAlignment="1">
      <alignment horizontal="center"/>
    </xf>
    <xf numFmtId="0" fontId="21" fillId="20" borderId="0" xfId="0" applyFont="1" applyFill="1" applyAlignment="1">
      <alignment horizontal="right"/>
    </xf>
    <xf numFmtId="0" fontId="22" fillId="20" borderId="0" xfId="0" applyFont="1" applyFill="1" applyAlignment="1">
      <alignment/>
    </xf>
    <xf numFmtId="0" fontId="0" fillId="25" borderId="0" xfId="0" applyFill="1" applyAlignment="1">
      <alignment/>
    </xf>
    <xf numFmtId="0" fontId="20" fillId="25" borderId="0" xfId="0" applyFont="1" applyFill="1" applyAlignment="1">
      <alignment/>
    </xf>
    <xf numFmtId="0" fontId="0" fillId="8" borderId="0" xfId="0" applyFill="1" applyAlignment="1">
      <alignment/>
    </xf>
    <xf numFmtId="0" fontId="23" fillId="8" borderId="0" xfId="0" applyFont="1" applyFill="1" applyAlignment="1">
      <alignment/>
    </xf>
    <xf numFmtId="49" fontId="4" fillId="24" borderId="0" xfId="0" applyNumberFormat="1" applyFont="1" applyFill="1" applyBorder="1" applyAlignment="1">
      <alignment horizontal="right" vertical="top"/>
    </xf>
    <xf numFmtId="0" fontId="4" fillId="24" borderId="0" xfId="0" applyFont="1" applyFill="1" applyBorder="1" applyAlignment="1">
      <alignment horizontal="right" vertical="top"/>
    </xf>
    <xf numFmtId="0" fontId="6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right" vertical="top"/>
    </xf>
    <xf numFmtId="0" fontId="0" fillId="24" borderId="0" xfId="0" applyFill="1" applyAlignment="1">
      <alignment/>
    </xf>
    <xf numFmtId="0" fontId="19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43" fontId="0" fillId="24" borderId="11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wrapText="1"/>
    </xf>
    <xf numFmtId="43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14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 horizontal="center" vertical="top"/>
    </xf>
    <xf numFmtId="0" fontId="8" fillId="24" borderId="0" xfId="0" applyFont="1" applyFill="1" applyAlignment="1">
      <alignment vertical="top"/>
    </xf>
    <xf numFmtId="0" fontId="4" fillId="24" borderId="0" xfId="0" applyFont="1" applyFill="1" applyAlignment="1">
      <alignment horizontal="center" vertical="top"/>
    </xf>
    <xf numFmtId="0" fontId="20" fillId="3" borderId="13" xfId="0" applyFont="1" applyFill="1" applyBorder="1" applyAlignment="1">
      <alignment horizontal="center"/>
    </xf>
    <xf numFmtId="181" fontId="16" fillId="3" borderId="13" xfId="57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 vertical="top"/>
    </xf>
    <xf numFmtId="43" fontId="18" fillId="10" borderId="13" xfId="60" applyFont="1" applyFill="1" applyBorder="1" applyAlignment="1">
      <alignment horizontal="center"/>
    </xf>
    <xf numFmtId="1" fontId="20" fillId="10" borderId="1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justify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177" fontId="18" fillId="10" borderId="13" xfId="60" applyNumberFormat="1" applyFont="1" applyFill="1" applyBorder="1" applyAlignment="1">
      <alignment horizontal="center"/>
    </xf>
    <xf numFmtId="43" fontId="0" fillId="20" borderId="0" xfId="0" applyNumberFormat="1" applyFill="1" applyAlignment="1">
      <alignment/>
    </xf>
    <xf numFmtId="178" fontId="18" fillId="10" borderId="13" xfId="60" applyNumberFormat="1" applyFont="1" applyFill="1" applyBorder="1" applyAlignment="1">
      <alignment horizontal="center"/>
    </xf>
    <xf numFmtId="1" fontId="16" fillId="3" borderId="13" xfId="57" applyNumberFormat="1" applyFont="1" applyFill="1" applyBorder="1" applyAlignment="1">
      <alignment horizontal="center"/>
    </xf>
    <xf numFmtId="43" fontId="3" fillId="0" borderId="11" xfId="60" applyFont="1" applyBorder="1" applyAlignment="1">
      <alignment horizontal="center" vertical="center" wrapText="1"/>
    </xf>
    <xf numFmtId="0" fontId="24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0" fontId="17" fillId="20" borderId="0" xfId="0" applyFont="1" applyFill="1" applyAlignment="1">
      <alignment horizontal="center"/>
    </xf>
    <xf numFmtId="0" fontId="25" fillId="20" borderId="0" xfId="0" applyFont="1" applyFill="1" applyAlignment="1">
      <alignment horizontal="center"/>
    </xf>
    <xf numFmtId="0" fontId="18" fillId="25" borderId="0" xfId="0" applyFont="1" applyFill="1" applyAlignment="1">
      <alignment horizontal="center"/>
    </xf>
    <xf numFmtId="0" fontId="19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top"/>
    </xf>
    <xf numFmtId="0" fontId="14" fillId="24" borderId="0" xfId="0" applyFont="1" applyFill="1" applyAlignment="1">
      <alignment horizontal="center" vertical="top"/>
    </xf>
    <xf numFmtId="0" fontId="14" fillId="24" borderId="0" xfId="0" applyNumberFormat="1" applyFont="1" applyFill="1" applyBorder="1" applyAlignment="1">
      <alignment horizontal="center" vertical="top" wrapText="1"/>
    </xf>
    <xf numFmtId="43" fontId="4" fillId="0" borderId="12" xfId="60" applyFont="1" applyBorder="1" applyAlignment="1">
      <alignment horizontal="center" vertical="center"/>
    </xf>
    <xf numFmtId="43" fontId="4" fillId="0" borderId="11" xfId="60" applyFont="1" applyBorder="1" applyAlignment="1">
      <alignment horizontal="center" vertical="center"/>
    </xf>
    <xf numFmtId="43" fontId="3" fillId="0" borderId="12" xfId="60" applyFont="1" applyBorder="1" applyAlignment="1">
      <alignment horizontal="center" vertical="center" wrapText="1"/>
    </xf>
    <xf numFmtId="43" fontId="4" fillId="0" borderId="12" xfId="60" applyFont="1" applyBorder="1" applyAlignment="1">
      <alignment horizontal="center" vertical="center" wrapText="1"/>
    </xf>
    <xf numFmtId="43" fontId="4" fillId="0" borderId="11" xfId="60" applyFont="1" applyBorder="1" applyAlignment="1">
      <alignment horizontal="center" vertical="center" wrapText="1"/>
    </xf>
    <xf numFmtId="43" fontId="4" fillId="0" borderId="12" xfId="60" applyFont="1" applyBorder="1" applyAlignment="1">
      <alignment horizontal="center" vertical="top" wrapText="1"/>
    </xf>
    <xf numFmtId="43" fontId="4" fillId="0" borderId="11" xfId="60" applyFont="1" applyBorder="1" applyAlignment="1">
      <alignment horizontal="center" vertical="top" wrapText="1"/>
    </xf>
    <xf numFmtId="43" fontId="3" fillId="0" borderId="12" xfId="60" applyFont="1" applyFill="1" applyBorder="1" applyAlignment="1">
      <alignment horizontal="center" vertical="center" wrapText="1"/>
    </xf>
    <xf numFmtId="43" fontId="3" fillId="0" borderId="11" xfId="60" applyFont="1" applyFill="1" applyBorder="1" applyAlignment="1">
      <alignment horizontal="center" vertical="center" wrapText="1"/>
    </xf>
    <xf numFmtId="43" fontId="3" fillId="0" borderId="12" xfId="60" applyFont="1" applyFill="1" applyBorder="1" applyAlignment="1">
      <alignment horizontal="center" vertical="center"/>
    </xf>
    <xf numFmtId="43" fontId="3" fillId="0" borderId="11" xfId="60" applyFont="1" applyFill="1" applyBorder="1" applyAlignment="1">
      <alignment horizontal="center" vertical="center"/>
    </xf>
    <xf numFmtId="43" fontId="0" fillId="0" borderId="0" xfId="60" applyFont="1" applyFill="1" applyAlignment="1">
      <alignment horizontal="center"/>
    </xf>
    <xf numFmtId="43" fontId="14" fillId="0" borderId="10" xfId="60" applyFont="1" applyFill="1" applyBorder="1" applyAlignment="1">
      <alignment horizontal="center" vertical="center"/>
    </xf>
    <xf numFmtId="43" fontId="14" fillId="0" borderId="11" xfId="60" applyFont="1" applyFill="1" applyBorder="1" applyAlignment="1">
      <alignment horizontal="center" vertical="center"/>
    </xf>
    <xf numFmtId="43" fontId="4" fillId="0" borderId="12" xfId="60" applyFont="1" applyFill="1" applyBorder="1" applyAlignment="1">
      <alignment horizontal="center" vertical="top" wrapText="1"/>
    </xf>
    <xf numFmtId="43" fontId="4" fillId="0" borderId="11" xfId="60" applyFont="1" applyFill="1" applyBorder="1" applyAlignment="1">
      <alignment horizontal="center" vertical="top" wrapText="1"/>
    </xf>
    <xf numFmtId="43" fontId="4" fillId="0" borderId="12" xfId="60" applyFont="1" applyFill="1" applyBorder="1" applyAlignment="1">
      <alignment horizontal="center" vertical="center"/>
    </xf>
    <xf numFmtId="43" fontId="4" fillId="0" borderId="11" xfId="60" applyFont="1" applyFill="1" applyBorder="1" applyAlignment="1">
      <alignment horizontal="center" vertical="center"/>
    </xf>
    <xf numFmtId="43" fontId="4" fillId="0" borderId="12" xfId="60" applyFont="1" applyFill="1" applyBorder="1" applyAlignment="1">
      <alignment horizontal="center" vertical="center" wrapText="1"/>
    </xf>
    <xf numFmtId="43" fontId="4" fillId="0" borderId="11" xfId="60" applyFont="1" applyFill="1" applyBorder="1" applyAlignment="1">
      <alignment horizontal="center" vertical="center" wrapText="1"/>
    </xf>
    <xf numFmtId="43" fontId="4" fillId="0" borderId="16" xfId="60" applyFont="1" applyFill="1" applyBorder="1" applyAlignment="1">
      <alignment horizontal="center" vertical="top" wrapText="1"/>
    </xf>
    <xf numFmtId="43" fontId="4" fillId="0" borderId="16" xfId="60" applyFont="1" applyFill="1" applyBorder="1" applyAlignment="1">
      <alignment horizontal="center" vertical="center" wrapText="1"/>
    </xf>
    <xf numFmtId="43" fontId="10" fillId="0" borderId="12" xfId="60" applyFont="1" applyFill="1" applyBorder="1" applyAlignment="1">
      <alignment horizontal="left" vertical="top" wrapText="1"/>
    </xf>
    <xf numFmtId="43" fontId="10" fillId="0" borderId="11" xfId="60" applyFont="1" applyFill="1" applyBorder="1" applyAlignment="1">
      <alignment horizontal="left" vertical="top" wrapText="1"/>
    </xf>
    <xf numFmtId="43" fontId="3" fillId="0" borderId="12" xfId="60" applyFont="1" applyFill="1" applyBorder="1" applyAlignment="1">
      <alignment horizontal="justify" vertical="top" wrapText="1"/>
    </xf>
    <xf numFmtId="43" fontId="3" fillId="0" borderId="11" xfId="60" applyFont="1" applyFill="1" applyBorder="1" applyAlignment="1">
      <alignment horizontal="justify" vertical="top" wrapText="1"/>
    </xf>
    <xf numFmtId="43" fontId="3" fillId="0" borderId="12" xfId="60" applyFont="1" applyBorder="1" applyAlignment="1">
      <alignment horizontal="center" vertical="center"/>
    </xf>
    <xf numFmtId="43" fontId="3" fillId="0" borderId="11" xfId="60" applyFont="1" applyBorder="1" applyAlignment="1">
      <alignment horizontal="center" vertical="center"/>
    </xf>
    <xf numFmtId="43" fontId="10" fillId="0" borderId="12" xfId="60" applyFont="1" applyBorder="1" applyAlignment="1">
      <alignment horizontal="left" vertical="top" wrapText="1"/>
    </xf>
    <xf numFmtId="43" fontId="10" fillId="0" borderId="11" xfId="60" applyFont="1" applyBorder="1" applyAlignment="1">
      <alignment horizontal="left" vertical="top" wrapText="1"/>
    </xf>
    <xf numFmtId="43" fontId="3" fillId="0" borderId="12" xfId="60" applyFont="1" applyBorder="1" applyAlignment="1">
      <alignment horizontal="left" vertical="top" wrapText="1"/>
    </xf>
    <xf numFmtId="43" fontId="3" fillId="0" borderId="11" xfId="60" applyFont="1" applyBorder="1" applyAlignment="1">
      <alignment horizontal="left" vertical="top" wrapText="1"/>
    </xf>
    <xf numFmtId="49" fontId="3" fillId="0" borderId="12" xfId="60" applyNumberFormat="1" applyFont="1" applyBorder="1" applyAlignment="1">
      <alignment horizontal="left" vertical="top" wrapText="1"/>
    </xf>
    <xf numFmtId="49" fontId="3" fillId="0" borderId="11" xfId="60" applyNumberFormat="1" applyFont="1" applyBorder="1" applyAlignment="1">
      <alignment horizontal="left" vertical="top" wrapText="1"/>
    </xf>
    <xf numFmtId="43" fontId="3" fillId="0" borderId="17" xfId="60" applyFont="1" applyFill="1" applyBorder="1" applyAlignment="1">
      <alignment horizontal="left" vertical="center" wrapText="1"/>
    </xf>
    <xf numFmtId="43" fontId="3" fillId="0" borderId="0" xfId="60" applyFont="1" applyFill="1" applyBorder="1" applyAlignment="1">
      <alignment horizontal="left" vertical="center" wrapText="1"/>
    </xf>
    <xf numFmtId="43" fontId="3" fillId="0" borderId="18" xfId="60" applyFont="1" applyFill="1" applyBorder="1" applyAlignment="1">
      <alignment horizontal="left" vertical="center" wrapText="1"/>
    </xf>
    <xf numFmtId="43" fontId="3" fillId="0" borderId="19" xfId="60" applyFont="1" applyFill="1" applyBorder="1" applyAlignment="1">
      <alignment horizontal="left" vertical="center" wrapText="1"/>
    </xf>
    <xf numFmtId="43" fontId="3" fillId="0" borderId="20" xfId="60" applyFont="1" applyFill="1" applyBorder="1" applyAlignment="1">
      <alignment horizontal="left" vertical="center" wrapText="1"/>
    </xf>
    <xf numFmtId="43" fontId="3" fillId="0" borderId="21" xfId="6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43" fontId="4" fillId="24" borderId="12" xfId="60" applyFont="1" applyFill="1" applyBorder="1" applyAlignment="1">
      <alignment horizontal="center" vertical="top" wrapText="1"/>
    </xf>
    <xf numFmtId="43" fontId="4" fillId="24" borderId="11" xfId="60" applyFont="1" applyFill="1" applyBorder="1" applyAlignment="1">
      <alignment horizontal="center" vertical="top" wrapText="1"/>
    </xf>
    <xf numFmtId="43" fontId="4" fillId="24" borderId="12" xfId="60" applyFont="1" applyFill="1" applyBorder="1" applyAlignment="1">
      <alignment horizontal="center" vertical="center"/>
    </xf>
    <xf numFmtId="43" fontId="4" fillId="24" borderId="11" xfId="60" applyFont="1" applyFill="1" applyBorder="1" applyAlignment="1">
      <alignment horizontal="center" vertical="center"/>
    </xf>
    <xf numFmtId="43" fontId="3" fillId="0" borderId="22" xfId="60" applyFont="1" applyFill="1" applyBorder="1" applyAlignment="1">
      <alignment horizontal="center" vertical="center"/>
    </xf>
    <xf numFmtId="43" fontId="3" fillId="0" borderId="21" xfId="60" applyFont="1" applyFill="1" applyBorder="1" applyAlignment="1">
      <alignment horizontal="center" vertical="center"/>
    </xf>
    <xf numFmtId="43" fontId="3" fillId="24" borderId="12" xfId="60" applyFont="1" applyFill="1" applyBorder="1" applyAlignment="1">
      <alignment horizontal="center" vertical="center" wrapText="1"/>
    </xf>
    <xf numFmtId="43" fontId="3" fillId="24" borderId="11" xfId="60" applyFont="1" applyFill="1" applyBorder="1" applyAlignment="1">
      <alignment horizontal="center" vertical="center" wrapText="1"/>
    </xf>
    <xf numFmtId="43" fontId="4" fillId="24" borderId="12" xfId="60" applyFont="1" applyFill="1" applyBorder="1" applyAlignment="1">
      <alignment horizontal="center" vertical="center" wrapText="1"/>
    </xf>
    <xf numFmtId="43" fontId="4" fillId="24" borderId="11" xfId="60" applyFont="1" applyFill="1" applyBorder="1" applyAlignment="1">
      <alignment horizontal="center" vertical="center" wrapText="1"/>
    </xf>
    <xf numFmtId="43" fontId="10" fillId="0" borderId="23" xfId="60" applyFont="1" applyFill="1" applyBorder="1" applyAlignment="1">
      <alignment horizontal="left" vertical="top" wrapText="1"/>
    </xf>
    <xf numFmtId="43" fontId="10" fillId="0" borderId="19" xfId="60" applyFont="1" applyFill="1" applyBorder="1" applyAlignment="1">
      <alignment horizontal="left" vertical="top" wrapText="1"/>
    </xf>
    <xf numFmtId="43" fontId="3" fillId="24" borderId="12" xfId="60" applyFont="1" applyFill="1" applyBorder="1" applyAlignment="1">
      <alignment horizontal="center" vertical="center"/>
    </xf>
    <xf numFmtId="43" fontId="3" fillId="24" borderId="11" xfId="60" applyFont="1" applyFill="1" applyBorder="1" applyAlignment="1">
      <alignment horizontal="center" vertical="center"/>
    </xf>
    <xf numFmtId="43" fontId="10" fillId="24" borderId="12" xfId="60" applyFont="1" applyFill="1" applyBorder="1" applyAlignment="1">
      <alignment horizontal="left" vertical="top" wrapText="1"/>
    </xf>
    <xf numFmtId="43" fontId="10" fillId="24" borderId="11" xfId="60" applyFont="1" applyFill="1" applyBorder="1" applyAlignment="1">
      <alignment horizontal="left" vertical="top" wrapText="1"/>
    </xf>
    <xf numFmtId="43" fontId="3" fillId="24" borderId="12" xfId="60" applyFont="1" applyFill="1" applyBorder="1" applyAlignment="1">
      <alignment horizontal="justify" vertical="top" wrapText="1"/>
    </xf>
    <xf numFmtId="43" fontId="3" fillId="24" borderId="11" xfId="60" applyFont="1" applyFill="1" applyBorder="1" applyAlignment="1">
      <alignment horizontal="justify" vertical="top" wrapText="1"/>
    </xf>
    <xf numFmtId="43" fontId="10" fillId="0" borderId="12" xfId="60" applyFont="1" applyBorder="1" applyAlignment="1">
      <alignment horizontal="left" vertical="center" wrapText="1"/>
    </xf>
    <xf numFmtId="43" fontId="10" fillId="0" borderId="11" xfId="60" applyFont="1" applyBorder="1" applyAlignment="1">
      <alignment horizontal="left" vertical="center" wrapText="1"/>
    </xf>
    <xf numFmtId="178" fontId="3" fillId="0" borderId="12" xfId="60" applyNumberFormat="1" applyFont="1" applyFill="1" applyBorder="1" applyAlignment="1">
      <alignment horizontal="center" vertical="center"/>
    </xf>
    <xf numFmtId="178" fontId="3" fillId="0" borderId="11" xfId="6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5" fillId="0" borderId="0" xfId="60" applyFont="1" applyFill="1" applyBorder="1" applyAlignment="1">
      <alignment horizontal="right"/>
    </xf>
    <xf numFmtId="43" fontId="0" fillId="0" borderId="0" xfId="60" applyFont="1" applyFill="1" applyAlignment="1">
      <alignment horizontal="right"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8" borderId="0" xfId="0" applyFill="1" applyAlignment="1">
      <alignment horizontal="center"/>
    </xf>
    <xf numFmtId="0" fontId="20" fillId="24" borderId="0" xfId="0" applyFont="1" applyFill="1" applyBorder="1" applyAlignment="1">
      <alignment horizontal="center"/>
    </xf>
    <xf numFmtId="173" fontId="0" fillId="2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0" zoomScaleNormal="80" zoomScalePageLayoutView="0" workbookViewId="0" topLeftCell="A1">
      <selection activeCell="A35" sqref="A35"/>
    </sheetView>
  </sheetViews>
  <sheetFormatPr defaultColWidth="9.00390625" defaultRowHeight="12.75"/>
  <cols>
    <col min="1" max="1" width="81.25390625" style="75" customWidth="1"/>
    <col min="2" max="2" width="32.125" style="74" customWidth="1"/>
    <col min="3" max="3" width="6.375" style="75" customWidth="1"/>
    <col min="4" max="4" width="13.625" style="72" customWidth="1"/>
    <col min="5" max="5" width="9.125" style="72" customWidth="1"/>
    <col min="6" max="6" width="3.625" style="72" customWidth="1"/>
    <col min="7" max="7" width="9.125" style="72" customWidth="1"/>
    <col min="8" max="8" width="37.375" style="72" customWidth="1"/>
    <col min="9" max="9" width="10.75390625" style="72" customWidth="1"/>
    <col min="10" max="10" width="9.875" style="72" customWidth="1"/>
    <col min="11" max="16384" width="9.125" style="72" customWidth="1"/>
  </cols>
  <sheetData>
    <row r="1" spans="1:10" s="79" customFormat="1" ht="20.25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79" customFormat="1" ht="20.25" customHeight="1">
      <c r="A2" s="125" t="s">
        <v>107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79" customFormat="1" ht="20.25" customHeight="1">
      <c r="A3" s="124" t="s">
        <v>110</v>
      </c>
      <c r="B3" s="124"/>
      <c r="C3" s="124"/>
      <c r="D3" s="124"/>
      <c r="E3" s="124"/>
      <c r="F3" s="124"/>
      <c r="G3" s="124"/>
      <c r="H3" s="124"/>
      <c r="I3" s="124"/>
      <c r="J3" s="124"/>
    </row>
    <row r="4" ht="21" thickBot="1"/>
    <row r="5" spans="1:10" ht="21" thickBot="1">
      <c r="A5" s="75" t="s">
        <v>82</v>
      </c>
      <c r="B5" s="76">
        <v>920</v>
      </c>
      <c r="D5" s="126" t="s">
        <v>78</v>
      </c>
      <c r="E5" s="126"/>
      <c r="F5" s="126"/>
      <c r="G5" s="126"/>
      <c r="H5" s="126"/>
      <c r="I5" s="126"/>
      <c r="J5" s="126"/>
    </row>
    <row r="6" spans="2:10" ht="9" customHeight="1" thickBot="1">
      <c r="B6" s="72"/>
      <c r="D6" s="80"/>
      <c r="E6" s="80"/>
      <c r="F6" s="80"/>
      <c r="G6" s="80"/>
      <c r="H6" s="80"/>
      <c r="I6" s="80"/>
      <c r="J6" s="80"/>
    </row>
    <row r="7" spans="1:10" ht="21" thickBot="1">
      <c r="A7" s="75" t="s">
        <v>83</v>
      </c>
      <c r="B7" s="76">
        <v>4.1</v>
      </c>
      <c r="D7" s="80"/>
      <c r="E7" s="76"/>
      <c r="F7" s="80"/>
      <c r="G7" s="81" t="s">
        <v>77</v>
      </c>
      <c r="H7" s="80"/>
      <c r="I7" s="80"/>
      <c r="J7" s="80"/>
    </row>
    <row r="8" spans="1:10" ht="20.25">
      <c r="A8" s="75" t="s">
        <v>164</v>
      </c>
      <c r="B8" s="213">
        <v>0.8</v>
      </c>
      <c r="D8" s="80"/>
      <c r="E8" s="213"/>
      <c r="F8" s="80"/>
      <c r="G8" s="81"/>
      <c r="H8" s="80"/>
      <c r="I8" s="80"/>
      <c r="J8" s="80"/>
    </row>
    <row r="9" spans="2:10" ht="9" customHeight="1" thickBot="1">
      <c r="B9" s="72"/>
      <c r="D9" s="80"/>
      <c r="E9" s="80"/>
      <c r="F9" s="80"/>
      <c r="G9" s="80"/>
      <c r="H9" s="80"/>
      <c r="I9" s="80"/>
      <c r="J9" s="80"/>
    </row>
    <row r="10" spans="1:10" ht="21" thickBot="1">
      <c r="A10" s="75" t="s">
        <v>80</v>
      </c>
      <c r="B10" s="77" t="s">
        <v>152</v>
      </c>
      <c r="D10" s="80"/>
      <c r="E10" s="105"/>
      <c r="F10" s="80"/>
      <c r="G10" s="81" t="s">
        <v>79</v>
      </c>
      <c r="H10" s="80"/>
      <c r="I10" s="80"/>
      <c r="J10" s="80"/>
    </row>
    <row r="11" spans="1:10" ht="20.25" customHeight="1" thickBot="1">
      <c r="A11" s="75" t="s">
        <v>148</v>
      </c>
      <c r="B11" s="116">
        <f>ROUND(DEGREES(ATAN(1/B10)),1)</f>
        <v>26.6</v>
      </c>
      <c r="D11" s="80"/>
      <c r="E11" s="80"/>
      <c r="F11" s="80"/>
      <c r="G11" s="80"/>
      <c r="H11" s="80"/>
      <c r="I11" s="80"/>
      <c r="J11" s="80"/>
    </row>
    <row r="12" spans="1:10" ht="21" thickBot="1">
      <c r="A12" s="75" t="s">
        <v>139</v>
      </c>
      <c r="B12" s="105">
        <f>SQRT(B7*B7+B7*B7*B10*B10)</f>
        <v>9.167878707749137</v>
      </c>
      <c r="D12" s="80"/>
      <c r="E12" s="102"/>
      <c r="F12" s="80"/>
      <c r="G12" s="81" t="s">
        <v>108</v>
      </c>
      <c r="H12" s="80"/>
      <c r="I12" s="80"/>
      <c r="J12" s="80"/>
    </row>
    <row r="13" spans="1:10" ht="18" customHeight="1" thickBot="1">
      <c r="A13" s="75" t="s">
        <v>157</v>
      </c>
      <c r="B13" s="105">
        <f>(INT((B8/SIN(RADIANS(B11))+B12)/2.8)+1)*2.8-B12</f>
        <v>2.032121292250862</v>
      </c>
      <c r="D13" s="80"/>
      <c r="E13" s="80"/>
      <c r="F13" s="80"/>
      <c r="G13" s="80"/>
      <c r="H13" s="80"/>
      <c r="I13" s="80"/>
      <c r="J13" s="80"/>
    </row>
    <row r="14" spans="4:10" ht="9" customHeight="1">
      <c r="D14" s="80"/>
      <c r="E14" s="80"/>
      <c r="F14" s="80"/>
      <c r="G14" s="80"/>
      <c r="H14" s="80"/>
      <c r="I14" s="80"/>
      <c r="J14" s="80"/>
    </row>
    <row r="15" ht="21" thickBot="1">
      <c r="A15" s="75" t="s">
        <v>81</v>
      </c>
    </row>
    <row r="16" spans="1:8" ht="21" thickBot="1">
      <c r="A16" s="78" t="s">
        <v>149</v>
      </c>
      <c r="B16" s="77" t="s">
        <v>151</v>
      </c>
      <c r="G16" s="117"/>
      <c r="H16" s="117"/>
    </row>
    <row r="17" spans="1:8" ht="21" thickBot="1">
      <c r="A17" s="78" t="s">
        <v>150</v>
      </c>
      <c r="B17" s="118">
        <f>IF(B16="150",405,105)</f>
        <v>405</v>
      </c>
      <c r="D17" s="117"/>
      <c r="G17" s="117"/>
      <c r="H17" s="214"/>
    </row>
    <row r="18" spans="1:2" ht="21" thickBot="1">
      <c r="A18" s="78" t="s">
        <v>86</v>
      </c>
      <c r="B18" s="105">
        <f>(B12+B13)/2.8</f>
        <v>4</v>
      </c>
    </row>
    <row r="19" spans="1:10" ht="21" thickBot="1">
      <c r="A19" s="78" t="s">
        <v>87</v>
      </c>
      <c r="B19" s="105">
        <f>IF(INT(B5/1.25)=ROUND(B5/1.25,3),INT(B5/1.25),INT(B5/1.25)+1)</f>
        <v>736</v>
      </c>
      <c r="D19" s="82"/>
      <c r="E19" s="82"/>
      <c r="F19" s="82"/>
      <c r="G19" s="82"/>
      <c r="H19" s="82"/>
      <c r="I19" s="82"/>
      <c r="J19" s="82"/>
    </row>
    <row r="20" spans="1:10" ht="21" thickBot="1">
      <c r="A20" s="78" t="s">
        <v>109</v>
      </c>
      <c r="B20" s="103">
        <f>IF(B17=405,0.03,0.02)</f>
        <v>0.03</v>
      </c>
      <c r="D20" s="123" t="s">
        <v>88</v>
      </c>
      <c r="E20" s="123"/>
      <c r="F20" s="123"/>
      <c r="G20" s="123"/>
      <c r="H20" s="123"/>
      <c r="I20" s="83"/>
      <c r="J20" s="82"/>
    </row>
    <row r="21" spans="1:10" ht="21" thickBot="1">
      <c r="A21" s="78" t="s">
        <v>84</v>
      </c>
      <c r="B21" s="105">
        <f>INT(B18*B19*(1+B20))</f>
        <v>3032</v>
      </c>
      <c r="D21" s="121" t="s">
        <v>85</v>
      </c>
      <c r="E21" s="123"/>
      <c r="F21" s="123"/>
      <c r="G21" s="123"/>
      <c r="H21" s="123"/>
      <c r="I21" s="106">
        <f>ROUND(B21*12/50/8,0)+1</f>
        <v>92</v>
      </c>
      <c r="J21" s="82"/>
    </row>
    <row r="22" spans="4:10" ht="9" customHeight="1">
      <c r="D22" s="82"/>
      <c r="E22" s="82"/>
      <c r="F22" s="82"/>
      <c r="G22" s="82"/>
      <c r="H22" s="82"/>
      <c r="I22" s="82"/>
      <c r="J22" s="82"/>
    </row>
    <row r="23" spans="1:2" ht="16.5" thickBot="1">
      <c r="A23" s="75" t="s">
        <v>89</v>
      </c>
      <c r="B23" s="72"/>
    </row>
    <row r="24" spans="1:10" ht="21" thickBot="1">
      <c r="A24" s="78" t="s">
        <v>90</v>
      </c>
      <c r="B24" s="105">
        <f>'Смета на строительство'!H62</f>
        <v>5176214.102671648</v>
      </c>
      <c r="C24" s="72"/>
      <c r="D24" s="82"/>
      <c r="E24" s="82"/>
      <c r="F24" s="82"/>
      <c r="G24" s="82"/>
      <c r="H24" s="82"/>
      <c r="I24" s="82"/>
      <c r="J24" s="82"/>
    </row>
    <row r="25" spans="1:10" ht="21" thickBot="1">
      <c r="A25" s="75" t="s">
        <v>75</v>
      </c>
      <c r="B25" s="77" t="s">
        <v>137</v>
      </c>
      <c r="D25" s="123" t="s">
        <v>88</v>
      </c>
      <c r="E25" s="123"/>
      <c r="F25" s="123"/>
      <c r="G25" s="123"/>
      <c r="H25" s="123"/>
      <c r="I25" s="83"/>
      <c r="J25" s="82"/>
    </row>
    <row r="26" spans="1:10" ht="21" customHeight="1" thickBot="1">
      <c r="A26" s="75" t="s">
        <v>104</v>
      </c>
      <c r="B26" s="103">
        <v>0.02</v>
      </c>
      <c r="D26" s="122" t="s">
        <v>147</v>
      </c>
      <c r="E26" s="122"/>
      <c r="F26" s="122"/>
      <c r="G26" s="122"/>
      <c r="H26" s="122"/>
      <c r="I26" s="82"/>
      <c r="J26" s="82"/>
    </row>
    <row r="27" spans="1:10" ht="21" thickBot="1">
      <c r="A27" s="75" t="s">
        <v>106</v>
      </c>
      <c r="B27" s="103">
        <v>0.046</v>
      </c>
      <c r="D27" s="122"/>
      <c r="E27" s="122"/>
      <c r="F27" s="122"/>
      <c r="G27" s="122"/>
      <c r="H27" s="122"/>
      <c r="I27" s="106">
        <f>INT(I21/12*8/3)+1</f>
        <v>21</v>
      </c>
      <c r="J27" s="82"/>
    </row>
    <row r="28" spans="1:10" ht="21" thickBot="1">
      <c r="A28" s="75" t="s">
        <v>105</v>
      </c>
      <c r="B28" s="103">
        <v>0.2</v>
      </c>
      <c r="D28" s="122"/>
      <c r="E28" s="122"/>
      <c r="F28" s="122"/>
      <c r="G28" s="122"/>
      <c r="H28" s="122"/>
      <c r="I28" s="82"/>
      <c r="J28" s="82"/>
    </row>
    <row r="29" spans="1:3" ht="21" thickBot="1">
      <c r="A29" s="78" t="s">
        <v>91</v>
      </c>
      <c r="B29" s="105">
        <f>B24*B25*(1+B26)*(1+B28)*(1+B27)</f>
        <v>67861786.83399089</v>
      </c>
      <c r="C29" s="72"/>
    </row>
    <row r="31" spans="1:10" ht="21" thickBot="1">
      <c r="A31" s="75" t="s">
        <v>153</v>
      </c>
      <c r="D31" s="82"/>
      <c r="E31" s="82"/>
      <c r="F31" s="82"/>
      <c r="G31" s="82"/>
      <c r="H31" s="82"/>
      <c r="I31" s="83"/>
      <c r="J31" s="82"/>
    </row>
    <row r="32" spans="1:10" ht="21" thickBot="1">
      <c r="A32" s="78" t="s">
        <v>90</v>
      </c>
      <c r="B32" s="105">
        <f>'Смета на ежегодное обслуживание'!H37</f>
        <v>603.3816255136311</v>
      </c>
      <c r="D32" s="121" t="s">
        <v>154</v>
      </c>
      <c r="E32" s="121"/>
      <c r="F32" s="121"/>
      <c r="G32" s="121"/>
      <c r="H32" s="121"/>
      <c r="I32" s="119">
        <v>50</v>
      </c>
      <c r="J32" s="82"/>
    </row>
    <row r="33" spans="1:10" ht="21" thickBot="1">
      <c r="A33" s="78" t="s">
        <v>91</v>
      </c>
      <c r="B33" s="105">
        <f>B32*B25*(1+B26)*(1+B27)*(1+B28)</f>
        <v>7910.521944797225</v>
      </c>
      <c r="D33" s="121" t="s">
        <v>155</v>
      </c>
      <c r="E33" s="121"/>
      <c r="F33" s="121"/>
      <c r="G33" s="121"/>
      <c r="H33" s="121"/>
      <c r="I33" s="119">
        <v>100</v>
      </c>
      <c r="J33" s="82"/>
    </row>
    <row r="34" spans="4:10" ht="21" thickBot="1">
      <c r="D34" s="121" t="s">
        <v>163</v>
      </c>
      <c r="E34" s="121"/>
      <c r="F34" s="121"/>
      <c r="G34" s="121"/>
      <c r="H34" s="121"/>
      <c r="I34" s="119">
        <v>40</v>
      </c>
      <c r="J34" s="82"/>
    </row>
    <row r="35" spans="4:10" ht="20.25">
      <c r="D35" s="212"/>
      <c r="E35" s="212"/>
      <c r="F35" s="212"/>
      <c r="G35" s="212"/>
      <c r="H35" s="212"/>
      <c r="I35" s="82"/>
      <c r="J35" s="82"/>
    </row>
  </sheetData>
  <sheetProtection/>
  <mergeCells count="12">
    <mergeCell ref="D34:H34"/>
    <mergeCell ref="D35:H35"/>
    <mergeCell ref="D21:H21"/>
    <mergeCell ref="D20:H20"/>
    <mergeCell ref="A1:J1"/>
    <mergeCell ref="A3:J3"/>
    <mergeCell ref="A2:J2"/>
    <mergeCell ref="D5:J5"/>
    <mergeCell ref="D32:H32"/>
    <mergeCell ref="D33:H33"/>
    <mergeCell ref="D26:H28"/>
    <mergeCell ref="D25:H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150" zoomScaleNormal="150" zoomScalePageLayoutView="0" workbookViewId="0" topLeftCell="B1">
      <selection activeCell="B11" sqref="B11"/>
    </sheetView>
  </sheetViews>
  <sheetFormatPr defaultColWidth="9.00390625" defaultRowHeight="12.75"/>
  <cols>
    <col min="1" max="1" width="8.00390625" style="88" customWidth="1"/>
    <col min="2" max="2" width="84.625" style="88" customWidth="1"/>
    <col min="3" max="3" width="9.125" style="73" customWidth="1"/>
    <col min="4" max="4" width="12.375" style="88" bestFit="1" customWidth="1"/>
    <col min="5" max="16384" width="9.125" style="88" customWidth="1"/>
  </cols>
  <sheetData>
    <row r="1" spans="1:11" ht="18">
      <c r="A1" s="129" t="s">
        <v>60</v>
      </c>
      <c r="B1" s="129"/>
      <c r="C1" s="129"/>
      <c r="D1" s="129"/>
      <c r="E1" s="98"/>
      <c r="F1" s="98"/>
      <c r="G1" s="98"/>
      <c r="H1" s="98"/>
      <c r="I1" s="98"/>
      <c r="J1" s="98"/>
      <c r="K1" s="98"/>
    </row>
    <row r="2" spans="1:11" ht="12.75">
      <c r="A2" s="84"/>
      <c r="B2" s="85"/>
      <c r="C2" s="86"/>
      <c r="D2" s="87"/>
      <c r="E2" s="99"/>
      <c r="F2" s="99"/>
      <c r="G2" s="85"/>
      <c r="H2" s="85"/>
      <c r="I2" s="85"/>
      <c r="J2" s="85"/>
      <c r="K2" s="85"/>
    </row>
    <row r="3" spans="1:11" ht="18">
      <c r="A3" s="130" t="s">
        <v>103</v>
      </c>
      <c r="B3" s="130"/>
      <c r="C3" s="130"/>
      <c r="D3" s="130"/>
      <c r="E3" s="100"/>
      <c r="F3" s="100"/>
      <c r="G3" s="100"/>
      <c r="H3" s="100"/>
      <c r="I3" s="100"/>
      <c r="J3" s="100"/>
      <c r="K3" s="100"/>
    </row>
    <row r="4" spans="1:11" ht="18">
      <c r="A4" s="131" t="str">
        <f>CONCATENATE("для укрепления спланированного откоса с размерами ",'Ввод данных'!B5," м на ",ROUND('Ввод данных'!B12,2)," м ")</f>
        <v>для укрепления спланированного откоса с размерами 920 м на 9,17 м </v>
      </c>
      <c r="B4" s="131"/>
      <c r="C4" s="131"/>
      <c r="D4" s="131"/>
      <c r="E4" s="101"/>
      <c r="F4" s="101"/>
      <c r="G4" s="101"/>
      <c r="H4" s="60"/>
      <c r="I4" s="60"/>
      <c r="J4" s="60"/>
      <c r="K4" s="60"/>
    </row>
    <row r="5" ht="13.5" thickBot="1"/>
    <row r="6" spans="1:4" ht="12.75">
      <c r="A6" s="89" t="s">
        <v>98</v>
      </c>
      <c r="B6" s="127" t="s">
        <v>100</v>
      </c>
      <c r="C6" s="89" t="s">
        <v>101</v>
      </c>
      <c r="D6" s="127" t="s">
        <v>7</v>
      </c>
    </row>
    <row r="7" spans="1:4" ht="13.5" thickBot="1">
      <c r="A7" s="90" t="s">
        <v>99</v>
      </c>
      <c r="B7" s="128"/>
      <c r="C7" s="90" t="s">
        <v>102</v>
      </c>
      <c r="D7" s="128"/>
    </row>
    <row r="8" spans="1:4" ht="12.75">
      <c r="A8" s="91">
        <v>1</v>
      </c>
      <c r="B8" s="92" t="s">
        <v>112</v>
      </c>
      <c r="C8" s="91" t="s">
        <v>92</v>
      </c>
      <c r="D8" s="93">
        <f>'Смета на строительство'!D24</f>
        <v>9277.893252242127</v>
      </c>
    </row>
    <row r="9" spans="1:4" ht="12.75">
      <c r="A9" s="94">
        <v>2</v>
      </c>
      <c r="B9" s="95" t="s">
        <v>94</v>
      </c>
      <c r="C9" s="94" t="s">
        <v>93</v>
      </c>
      <c r="D9" s="96">
        <f>'Смета на строительство'!D28</f>
        <v>2.16162248</v>
      </c>
    </row>
    <row r="10" spans="1:4" ht="12.75">
      <c r="A10" s="94">
        <v>3</v>
      </c>
      <c r="B10" s="97" t="s">
        <v>158</v>
      </c>
      <c r="C10" s="94" t="s">
        <v>74</v>
      </c>
      <c r="D10" s="96">
        <f>'Смета на строительство'!D32</f>
        <v>1428</v>
      </c>
    </row>
    <row r="11" spans="1:4" ht="12.75">
      <c r="A11" s="94">
        <v>4</v>
      </c>
      <c r="B11" s="97" t="s">
        <v>136</v>
      </c>
      <c r="C11" s="94" t="s">
        <v>95</v>
      </c>
      <c r="D11" s="96">
        <f>ROUND('Смета на строительство'!D40*10,1)</f>
        <v>11.6</v>
      </c>
    </row>
    <row r="12" spans="1:4" ht="12.75">
      <c r="A12" s="94">
        <v>5</v>
      </c>
      <c r="B12" s="97" t="s">
        <v>96</v>
      </c>
      <c r="C12" s="94" t="s">
        <v>97</v>
      </c>
      <c r="D12" s="96">
        <f>'Смета на строительство'!D46</f>
        <v>222.85200000000003</v>
      </c>
    </row>
    <row r="13" spans="1:4" ht="12.75">
      <c r="A13" s="94">
        <v>6</v>
      </c>
      <c r="B13" s="97" t="str">
        <f>CONCATENATE("Плита бетонная гибкая марки ПБЗГУ-",'Ввод данных'!B17)</f>
        <v>Плита бетонная гибкая марки ПБЗГУ-405</v>
      </c>
      <c r="C13" s="94" t="s">
        <v>74</v>
      </c>
      <c r="D13" s="96">
        <f>'Смета на строительство'!D49</f>
        <v>3032</v>
      </c>
    </row>
  </sheetData>
  <sheetProtection/>
  <mergeCells count="5">
    <mergeCell ref="B6:B7"/>
    <mergeCell ref="D6:D7"/>
    <mergeCell ref="A1:D1"/>
    <mergeCell ref="A3:D3"/>
    <mergeCell ref="A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="120" zoomScaleNormal="120" zoomScaleSheetLayoutView="75" zoomScalePageLayoutView="0" workbookViewId="0" topLeftCell="A46">
      <selection activeCell="B32" sqref="B32:B33"/>
    </sheetView>
  </sheetViews>
  <sheetFormatPr defaultColWidth="9.00390625" defaultRowHeight="12.75" outlineLevelRow="2"/>
  <cols>
    <col min="1" max="1" width="4.625" style="33" customWidth="1"/>
    <col min="2" max="2" width="18.00390625" style="2" customWidth="1"/>
    <col min="3" max="3" width="34.75390625" style="3" customWidth="1"/>
    <col min="4" max="4" width="18.00390625" style="4" customWidth="1"/>
    <col min="5" max="5" width="8.75390625" style="5" customWidth="1"/>
    <col min="6" max="7" width="8.75390625" style="6" customWidth="1"/>
    <col min="8" max="8" width="13.125" style="6" customWidth="1"/>
    <col min="9" max="9" width="10.875" style="6" customWidth="1"/>
    <col min="10" max="10" width="10.25390625" style="6" customWidth="1"/>
    <col min="11" max="11" width="14.00390625" style="6" customWidth="1"/>
    <col min="12" max="12" width="8.75390625" style="6" customWidth="1"/>
    <col min="13" max="13" width="9.375" style="6" customWidth="1"/>
    <col min="14" max="14" width="9.125" style="6" customWidth="1"/>
    <col min="15" max="15" width="7.125" style="6" customWidth="1"/>
    <col min="16" max="17" width="6.25390625" style="6" customWidth="1"/>
    <col min="18" max="16384" width="9.125" style="7" customWidth="1"/>
  </cols>
  <sheetData>
    <row r="1" spans="1:12" ht="12.75" outlineLevel="2">
      <c r="A1" s="172" t="s">
        <v>3</v>
      </c>
      <c r="B1" s="172"/>
      <c r="K1" s="173" t="s">
        <v>4</v>
      </c>
      <c r="L1" s="173"/>
    </row>
    <row r="2" spans="1:10" ht="12.75" outlineLevel="1">
      <c r="A2" s="8"/>
      <c r="J2" s="9"/>
    </row>
    <row r="3" spans="1:10" ht="12.75" outlineLevel="1">
      <c r="A3" s="2"/>
      <c r="J3" s="10"/>
    </row>
    <row r="4" spans="1:14" s="20" customFormat="1" ht="19.5" customHeight="1">
      <c r="A4" s="54"/>
      <c r="B4" s="175" t="s">
        <v>60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3"/>
      <c r="N4" s="13"/>
    </row>
    <row r="5" spans="1:14" s="20" customFormat="1" ht="12.75">
      <c r="A5" s="54"/>
      <c r="B5" s="55"/>
      <c r="C5" s="13"/>
      <c r="D5" s="23"/>
      <c r="E5" s="56"/>
      <c r="F5" s="12"/>
      <c r="G5" s="12"/>
      <c r="H5" s="13"/>
      <c r="I5" s="13"/>
      <c r="J5" s="13"/>
      <c r="K5" s="13"/>
      <c r="L5" s="13"/>
      <c r="M5" s="13"/>
      <c r="N5" s="13"/>
    </row>
    <row r="6" spans="1:17" ht="15.75">
      <c r="A6" s="11"/>
      <c r="B6" s="176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P6" s="7"/>
      <c r="Q6" s="7"/>
    </row>
    <row r="7" spans="1:17" ht="12.75">
      <c r="A7" s="11"/>
      <c r="B7" s="14"/>
      <c r="C7" s="6"/>
      <c r="D7" s="15"/>
      <c r="F7" s="16"/>
      <c r="G7" s="16"/>
      <c r="H7" s="16"/>
      <c r="P7" s="7"/>
      <c r="Q7" s="7"/>
    </row>
    <row r="8" spans="1:14" s="20" customFormat="1" ht="15.75">
      <c r="A8" s="19"/>
      <c r="B8" s="174" t="str">
        <f>CONCATENATE("Укрепление спланированного откоса с размерами ",'Ввод данных'!B5," м на ",ROUND('Ввод данных'!B12,2)," м ГБ-плитами марки ПБЗГУ-",'Ввод данных'!B17)</f>
        <v>Укрепление спланированного откоса с размерами 920 м на 9,17 м ГБ-плитами марки ПБЗГУ-405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3"/>
      <c r="N8" s="13"/>
    </row>
    <row r="9" spans="1:17" ht="12.75">
      <c r="A9" s="17"/>
      <c r="B9" s="21"/>
      <c r="C9" s="22"/>
      <c r="D9" s="23"/>
      <c r="E9" s="24"/>
      <c r="F9" s="23"/>
      <c r="G9" s="23"/>
      <c r="H9" s="23"/>
      <c r="I9" s="22"/>
      <c r="J9" s="22"/>
      <c r="P9" s="7"/>
      <c r="Q9" s="7"/>
    </row>
    <row r="10" spans="1:17" ht="12.75">
      <c r="A10" s="25"/>
      <c r="B10" s="26" t="s">
        <v>39</v>
      </c>
      <c r="C10" s="29"/>
      <c r="D10" s="143">
        <f>H62/1000</f>
        <v>5176.214102671648</v>
      </c>
      <c r="E10" s="143"/>
      <c r="F10" s="30" t="s">
        <v>37</v>
      </c>
      <c r="G10" s="27"/>
      <c r="I10" s="28"/>
      <c r="J10" s="18"/>
      <c r="P10" s="7"/>
      <c r="Q10" s="7"/>
    </row>
    <row r="11" spans="1:17" ht="12.75">
      <c r="A11" s="25"/>
      <c r="B11" s="26" t="s">
        <v>40</v>
      </c>
      <c r="C11" s="29"/>
      <c r="D11" s="204">
        <f>H59/1000</f>
        <v>140.60084771484756</v>
      </c>
      <c r="E11" s="205"/>
      <c r="F11" s="27" t="s">
        <v>37</v>
      </c>
      <c r="G11" s="27"/>
      <c r="I11" s="28"/>
      <c r="J11" s="18"/>
      <c r="P11" s="7"/>
      <c r="Q11" s="7"/>
    </row>
    <row r="12" spans="1:17" ht="12.75" outlineLevel="1">
      <c r="A12" s="25"/>
      <c r="B12" s="26" t="s">
        <v>41</v>
      </c>
      <c r="C12" s="29"/>
      <c r="D12" s="206">
        <f>M62</f>
        <v>14037.034441656802</v>
      </c>
      <c r="E12" s="207"/>
      <c r="F12" s="27" t="s">
        <v>38</v>
      </c>
      <c r="G12" s="27"/>
      <c r="I12" s="28"/>
      <c r="J12" s="18"/>
      <c r="P12" s="7"/>
      <c r="Q12" s="7"/>
    </row>
    <row r="13" spans="1:17" ht="12.75">
      <c r="A13" s="25"/>
      <c r="B13" s="31" t="s">
        <v>76</v>
      </c>
      <c r="C13" s="32"/>
      <c r="D13" s="18"/>
      <c r="E13" s="18"/>
      <c r="F13" s="18"/>
      <c r="G13" s="18"/>
      <c r="H13" s="18"/>
      <c r="I13" s="18"/>
      <c r="J13" s="18"/>
      <c r="P13" s="7"/>
      <c r="Q13" s="7"/>
    </row>
    <row r="14" ht="12.75">
      <c r="E14" s="6"/>
    </row>
    <row r="15" spans="1:18" s="35" customFormat="1" ht="22.5" customHeight="1">
      <c r="A15" s="199" t="s">
        <v>1</v>
      </c>
      <c r="B15" s="199" t="s">
        <v>5</v>
      </c>
      <c r="C15" s="200" t="s">
        <v>6</v>
      </c>
      <c r="D15" s="200" t="s">
        <v>7</v>
      </c>
      <c r="E15" s="200" t="s">
        <v>13</v>
      </c>
      <c r="F15" s="211"/>
      <c r="G15" s="211"/>
      <c r="H15" s="200" t="s">
        <v>14</v>
      </c>
      <c r="I15" s="200"/>
      <c r="J15" s="200"/>
      <c r="K15" s="200"/>
      <c r="L15" s="200" t="s">
        <v>11</v>
      </c>
      <c r="M15" s="200"/>
      <c r="N15" s="5"/>
      <c r="O15" s="5"/>
      <c r="P15" s="5"/>
      <c r="Q15" s="5"/>
      <c r="R15" s="5"/>
    </row>
    <row r="16" spans="1:18" s="35" customFormat="1" ht="24" customHeight="1">
      <c r="A16" s="199"/>
      <c r="B16" s="199"/>
      <c r="C16" s="200"/>
      <c r="D16" s="200"/>
      <c r="E16" s="34" t="s">
        <v>8</v>
      </c>
      <c r="F16" s="34" t="s">
        <v>15</v>
      </c>
      <c r="G16" s="200" t="s">
        <v>16</v>
      </c>
      <c r="H16" s="200" t="s">
        <v>2</v>
      </c>
      <c r="I16" s="200" t="s">
        <v>10</v>
      </c>
      <c r="J16" s="34" t="s">
        <v>15</v>
      </c>
      <c r="K16" s="200" t="s">
        <v>16</v>
      </c>
      <c r="L16" s="200"/>
      <c r="M16" s="200"/>
      <c r="N16" s="5"/>
      <c r="O16" s="5"/>
      <c r="P16" s="5"/>
      <c r="Q16" s="5"/>
      <c r="R16" s="5"/>
    </row>
    <row r="17" spans="1:18" s="35" customFormat="1" ht="38.25" customHeight="1">
      <c r="A17" s="199"/>
      <c r="B17" s="199"/>
      <c r="C17" s="200"/>
      <c r="D17" s="200"/>
      <c r="E17" s="34" t="s">
        <v>10</v>
      </c>
      <c r="F17" s="34" t="s">
        <v>9</v>
      </c>
      <c r="G17" s="200"/>
      <c r="H17" s="200"/>
      <c r="I17" s="200"/>
      <c r="J17" s="34" t="s">
        <v>9</v>
      </c>
      <c r="K17" s="200"/>
      <c r="L17" s="34" t="s">
        <v>12</v>
      </c>
      <c r="M17" s="34" t="s">
        <v>8</v>
      </c>
      <c r="N17" s="5"/>
      <c r="O17" s="5"/>
      <c r="P17" s="5"/>
      <c r="Q17" s="5"/>
      <c r="R17" s="5"/>
    </row>
    <row r="18" spans="1:13" s="38" customFormat="1" ht="11.25">
      <c r="A18" s="36">
        <v>1</v>
      </c>
      <c r="B18" s="36">
        <v>2</v>
      </c>
      <c r="C18" s="34">
        <v>3</v>
      </c>
      <c r="D18" s="34">
        <v>4</v>
      </c>
      <c r="E18" s="34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37">
        <v>12</v>
      </c>
      <c r="M18" s="37">
        <v>13</v>
      </c>
    </row>
    <row r="19" spans="1:13" ht="19.5" customHeight="1">
      <c r="A19" s="208" t="s">
        <v>43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ht="36.75" customHeight="1">
      <c r="A20" s="197">
        <v>1</v>
      </c>
      <c r="B20" s="154" t="s">
        <v>17</v>
      </c>
      <c r="C20" s="156" t="s">
        <v>68</v>
      </c>
      <c r="D20" s="139">
        <f>'Ввод данных'!B5*'Ввод данных'!B12*0.4/100</f>
        <v>33.73779364451682</v>
      </c>
      <c r="E20" s="39">
        <v>387.18</v>
      </c>
      <c r="F20" s="39">
        <v>280.3</v>
      </c>
      <c r="G20" s="146"/>
      <c r="H20" s="148">
        <f>I20+J20+K20</f>
        <v>13062.598943284023</v>
      </c>
      <c r="I20" s="148">
        <f>D20*E21</f>
        <v>3605.8953847259577</v>
      </c>
      <c r="J20" s="39">
        <f>D20*F20</f>
        <v>9456.703558558065</v>
      </c>
      <c r="K20" s="148"/>
      <c r="L20" s="148">
        <v>12.53</v>
      </c>
      <c r="M20" s="148">
        <f>D20*L20</f>
        <v>422.73455436579576</v>
      </c>
    </row>
    <row r="21" spans="1:13" ht="36.75" customHeight="1">
      <c r="A21" s="198"/>
      <c r="B21" s="155"/>
      <c r="C21" s="157"/>
      <c r="D21" s="140"/>
      <c r="E21" s="39">
        <v>106.88</v>
      </c>
      <c r="F21" s="39">
        <v>30.58</v>
      </c>
      <c r="G21" s="147"/>
      <c r="H21" s="149"/>
      <c r="I21" s="149"/>
      <c r="J21" s="39">
        <f>D20*F21</f>
        <v>1031.7017296493243</v>
      </c>
      <c r="K21" s="149"/>
      <c r="L21" s="149"/>
      <c r="M21" s="149"/>
    </row>
    <row r="22" spans="1:13" ht="42.75" customHeight="1">
      <c r="A22" s="197">
        <v>2</v>
      </c>
      <c r="B22" s="154" t="s">
        <v>18</v>
      </c>
      <c r="C22" s="156" t="s">
        <v>69</v>
      </c>
      <c r="D22" s="139">
        <f>'Ввод данных'!B5*'Ввод данных'!B12/100</f>
        <v>84.34448411129206</v>
      </c>
      <c r="E22" s="39">
        <v>101.46</v>
      </c>
      <c r="F22" s="39">
        <v>4.67</v>
      </c>
      <c r="G22" s="150">
        <v>66</v>
      </c>
      <c r="H22" s="148">
        <f>I22+J22+K22</f>
        <v>8557.591357931691</v>
      </c>
      <c r="I22" s="148">
        <f>D22*E23</f>
        <v>2596.9666657866824</v>
      </c>
      <c r="J22" s="39">
        <f>D22*F22</f>
        <v>393.8887407997339</v>
      </c>
      <c r="K22" s="148">
        <f>D22*G22</f>
        <v>5566.735951345276</v>
      </c>
      <c r="L22" s="148">
        <v>3.61</v>
      </c>
      <c r="M22" s="148">
        <f>D22*L22</f>
        <v>304.48358764176436</v>
      </c>
    </row>
    <row r="23" spans="1:13" ht="42.75" customHeight="1">
      <c r="A23" s="198"/>
      <c r="B23" s="155"/>
      <c r="C23" s="157"/>
      <c r="D23" s="140"/>
      <c r="E23" s="39">
        <v>30.79</v>
      </c>
      <c r="F23" s="39">
        <v>0.64</v>
      </c>
      <c r="G23" s="151"/>
      <c r="H23" s="149"/>
      <c r="I23" s="149"/>
      <c r="J23" s="39">
        <f>D22*F23</f>
        <v>53.98046983122692</v>
      </c>
      <c r="K23" s="149"/>
      <c r="L23" s="149"/>
      <c r="M23" s="149"/>
    </row>
    <row r="24" spans="1:13" ht="37.5" customHeight="1">
      <c r="A24" s="141" t="s">
        <v>48</v>
      </c>
      <c r="B24" s="154" t="s">
        <v>19</v>
      </c>
      <c r="C24" s="156" t="s">
        <v>51</v>
      </c>
      <c r="D24" s="139">
        <f>'Ввод данных'!B5*'Ввод данных'!B12*1.1</f>
        <v>9277.893252242127</v>
      </c>
      <c r="E24" s="52">
        <v>11.16</v>
      </c>
      <c r="F24" s="57"/>
      <c r="G24" s="150">
        <v>11.16</v>
      </c>
      <c r="H24" s="148">
        <f>K24</f>
        <v>103541.28869502214</v>
      </c>
      <c r="I24" s="146"/>
      <c r="J24" s="146"/>
      <c r="K24" s="148">
        <f>D24*G24</f>
        <v>103541.28869502214</v>
      </c>
      <c r="L24" s="146"/>
      <c r="M24" s="146"/>
    </row>
    <row r="25" spans="1:13" ht="37.5" customHeight="1">
      <c r="A25" s="142"/>
      <c r="B25" s="155"/>
      <c r="C25" s="157"/>
      <c r="D25" s="140"/>
      <c r="E25" s="52"/>
      <c r="F25" s="57"/>
      <c r="G25" s="151"/>
      <c r="H25" s="149"/>
      <c r="I25" s="147"/>
      <c r="J25" s="147"/>
      <c r="K25" s="149"/>
      <c r="L25" s="147"/>
      <c r="M25" s="147"/>
    </row>
    <row r="26" spans="1:13" ht="37.5" customHeight="1">
      <c r="A26" s="141" t="s">
        <v>49</v>
      </c>
      <c r="B26" s="154" t="str">
        <f>CONCATENATE("ФЕР42-01-017-0",IF('Ввод данных'!B17=405,1,2),"
Приказ Минстроя России от 30.12.2016 №1039/пр")</f>
        <v>ФЕР42-01-017-01
Приказ Минстроя России от 30.12.2016 №1039/пр</v>
      </c>
      <c r="C26" s="156" t="str">
        <f>CONCATENATE("Крепление откосов разрезными плитами массой: до ",IF('Ввод данных'!B17=405,3,4)," т, толщиной ",IF('Ввод данных'!B17=405,15,20)," см
(100 м3)
НР (457 руб.): 89% от ФОТ
СП (359 руб.): 70% от ФОТ")</f>
        <v>Крепление откосов разрезными плитами массой: до 3 т, толщиной 15 см
(100 м3)
НР (457 руб.): 89% от ФОТ
СП (359 руб.): 70% от ФОТ</v>
      </c>
      <c r="D26" s="139">
        <f>D49/(1+'Ввод данных'!B20)*IF('Ввод данных'!B17=405,1.25*2.8*0.15,1.25*2.8*0.24)/100</f>
        <v>15.454368932038836</v>
      </c>
      <c r="E26" s="42">
        <f>IF('Ввод данных'!B17=405,7845.72,6139.36)</f>
        <v>7845.72</v>
      </c>
      <c r="F26" s="42">
        <f>IF('Ввод данных'!B17=405,5186.98,4080.09)</f>
        <v>5186.98</v>
      </c>
      <c r="G26" s="150">
        <f>IF('Ввод данных'!B17=405,550.06,401.96)</f>
        <v>550.06</v>
      </c>
      <c r="H26" s="148">
        <f>I26+J26+K26</f>
        <v>121250.65141747573</v>
      </c>
      <c r="I26" s="148">
        <f>D26*E27</f>
        <v>32588.31867961165</v>
      </c>
      <c r="J26" s="39">
        <f>D26*F26</f>
        <v>80161.5025631068</v>
      </c>
      <c r="K26" s="148">
        <f>D26*G26</f>
        <v>8500.83017475728</v>
      </c>
      <c r="L26" s="148">
        <f>IF('Ввод данных'!B17=405,238,187)</f>
        <v>238</v>
      </c>
      <c r="M26" s="148">
        <f>D26*L26</f>
        <v>3678.139805825243</v>
      </c>
    </row>
    <row r="27" spans="1:13" ht="37.5" customHeight="1">
      <c r="A27" s="142"/>
      <c r="B27" s="155"/>
      <c r="C27" s="157"/>
      <c r="D27" s="140"/>
      <c r="E27" s="42">
        <f>IF('Ввод данных'!B17=405,2108.68,1656.82)</f>
        <v>2108.68</v>
      </c>
      <c r="F27" s="42">
        <f>IF('Ввод данных'!B17=405,602.51,482.09)</f>
        <v>602.51</v>
      </c>
      <c r="G27" s="151"/>
      <c r="H27" s="149"/>
      <c r="I27" s="149"/>
      <c r="J27" s="39">
        <f>D26*F27</f>
        <v>9311.41182524272</v>
      </c>
      <c r="K27" s="149"/>
      <c r="L27" s="149"/>
      <c r="M27" s="149"/>
    </row>
    <row r="28" spans="1:17" s="61" customFormat="1" ht="37.5" customHeight="1">
      <c r="A28" s="189" t="s">
        <v>59</v>
      </c>
      <c r="B28" s="191" t="s">
        <v>21</v>
      </c>
      <c r="C28" s="193" t="s">
        <v>55</v>
      </c>
      <c r="D28" s="183">
        <f>D49*(3*0.2+0.32)*0.617/1000+D32*0.5*0.617/1000</f>
        <v>2.16162248</v>
      </c>
      <c r="E28" s="185">
        <v>8014.15</v>
      </c>
      <c r="F28" s="59"/>
      <c r="G28" s="185">
        <v>8014.15</v>
      </c>
      <c r="H28" s="179">
        <f>K28</f>
        <v>17323.566798092</v>
      </c>
      <c r="I28" s="177"/>
      <c r="J28" s="64"/>
      <c r="K28" s="179">
        <f>D28*G28</f>
        <v>17323.566798092</v>
      </c>
      <c r="L28" s="177"/>
      <c r="M28" s="177"/>
      <c r="N28" s="60"/>
      <c r="O28" s="60"/>
      <c r="P28" s="60"/>
      <c r="Q28" s="60"/>
    </row>
    <row r="29" spans="1:17" s="61" customFormat="1" ht="37.5" customHeight="1">
      <c r="A29" s="190"/>
      <c r="B29" s="192"/>
      <c r="C29" s="194"/>
      <c r="D29" s="184"/>
      <c r="E29" s="186"/>
      <c r="F29" s="59"/>
      <c r="G29" s="186"/>
      <c r="H29" s="180"/>
      <c r="I29" s="178"/>
      <c r="J29" s="64"/>
      <c r="K29" s="180"/>
      <c r="L29" s="178"/>
      <c r="M29" s="178"/>
      <c r="N29" s="60"/>
      <c r="O29" s="60"/>
      <c r="P29" s="60"/>
      <c r="Q29" s="60"/>
    </row>
    <row r="30" spans="1:13" ht="44.25" customHeight="1">
      <c r="A30" s="141" t="s">
        <v>50</v>
      </c>
      <c r="B30" s="154" t="s">
        <v>23</v>
      </c>
      <c r="C30" s="156" t="s">
        <v>70</v>
      </c>
      <c r="D30" s="139">
        <f>D32*1.8/100*2</f>
        <v>51.408</v>
      </c>
      <c r="E30" s="39">
        <v>1364.36</v>
      </c>
      <c r="F30" s="52">
        <v>19.1</v>
      </c>
      <c r="G30" s="150"/>
      <c r="H30" s="148">
        <f>I30+J30</f>
        <v>70139.01888</v>
      </c>
      <c r="I30" s="148">
        <f>D30*E31</f>
        <v>69157.12608</v>
      </c>
      <c r="J30" s="65">
        <f>D30*F30</f>
        <v>981.8928000000001</v>
      </c>
      <c r="K30" s="148"/>
      <c r="L30" s="148">
        <v>148.32</v>
      </c>
      <c r="M30" s="148">
        <f>D30*L30</f>
        <v>7624.83456</v>
      </c>
    </row>
    <row r="31" spans="1:13" ht="44.25" customHeight="1">
      <c r="A31" s="142"/>
      <c r="B31" s="155"/>
      <c r="C31" s="157"/>
      <c r="D31" s="140"/>
      <c r="E31" s="39">
        <v>1345.26</v>
      </c>
      <c r="F31" s="52">
        <v>1.61</v>
      </c>
      <c r="G31" s="151"/>
      <c r="H31" s="149"/>
      <c r="I31" s="149"/>
      <c r="J31" s="65">
        <f>D30*F31</f>
        <v>82.76688</v>
      </c>
      <c r="K31" s="149"/>
      <c r="L31" s="149"/>
      <c r="M31" s="149"/>
    </row>
    <row r="32" spans="1:13" ht="24.75" customHeight="1">
      <c r="A32" s="141" t="s">
        <v>52</v>
      </c>
      <c r="B32" s="187" t="s">
        <v>162</v>
      </c>
      <c r="C32" s="66" t="s">
        <v>158</v>
      </c>
      <c r="D32" s="181">
        <f>INT('Ввод данных'!B5/1.29)*2+2</f>
        <v>1428</v>
      </c>
      <c r="E32" s="52">
        <f>G32</f>
        <v>368.99</v>
      </c>
      <c r="F32" s="57"/>
      <c r="G32" s="150">
        <v>368.99</v>
      </c>
      <c r="H32" s="148">
        <f>K32</f>
        <v>526917.72</v>
      </c>
      <c r="I32" s="146"/>
      <c r="J32" s="58"/>
      <c r="K32" s="148">
        <f>D32*G32</f>
        <v>526917.72</v>
      </c>
      <c r="L32" s="146"/>
      <c r="M32" s="146"/>
    </row>
    <row r="33" spans="1:13" ht="24.75" customHeight="1">
      <c r="A33" s="142"/>
      <c r="B33" s="188"/>
      <c r="C33" s="67" t="s">
        <v>57</v>
      </c>
      <c r="D33" s="182"/>
      <c r="E33" s="52"/>
      <c r="F33" s="57"/>
      <c r="G33" s="151"/>
      <c r="H33" s="149"/>
      <c r="I33" s="147"/>
      <c r="J33" s="58"/>
      <c r="K33" s="149"/>
      <c r="L33" s="147"/>
      <c r="M33" s="147"/>
    </row>
    <row r="34" spans="1:13" ht="42.75" customHeight="1">
      <c r="A34" s="141" t="s">
        <v>53</v>
      </c>
      <c r="B34" s="154" t="s">
        <v>24</v>
      </c>
      <c r="C34" s="156" t="s">
        <v>71</v>
      </c>
      <c r="D34" s="139">
        <f>D36</f>
        <v>357</v>
      </c>
      <c r="E34" s="52">
        <v>90</v>
      </c>
      <c r="F34" s="39">
        <v>90</v>
      </c>
      <c r="G34" s="146"/>
      <c r="H34" s="148">
        <f>J34</f>
        <v>32130</v>
      </c>
      <c r="I34" s="146"/>
      <c r="J34" s="39">
        <f>D34*F34</f>
        <v>32130</v>
      </c>
      <c r="K34" s="146"/>
      <c r="L34" s="146"/>
      <c r="M34" s="146"/>
    </row>
    <row r="35" spans="1:13" ht="42.75" customHeight="1">
      <c r="A35" s="142"/>
      <c r="B35" s="155"/>
      <c r="C35" s="157"/>
      <c r="D35" s="140"/>
      <c r="E35" s="52"/>
      <c r="F35" s="39">
        <v>10.06</v>
      </c>
      <c r="G35" s="147"/>
      <c r="H35" s="149"/>
      <c r="I35" s="147"/>
      <c r="J35" s="39">
        <f>D34*F35</f>
        <v>3591.42</v>
      </c>
      <c r="K35" s="147"/>
      <c r="L35" s="147"/>
      <c r="M35" s="147"/>
    </row>
    <row r="36" spans="1:13" ht="45.75" customHeight="1">
      <c r="A36" s="141" t="s">
        <v>54</v>
      </c>
      <c r="B36" s="154" t="s">
        <v>25</v>
      </c>
      <c r="C36" s="156" t="s">
        <v>26</v>
      </c>
      <c r="D36" s="141">
        <f>D32*0.25</f>
        <v>357</v>
      </c>
      <c r="E36" s="52">
        <v>1.53</v>
      </c>
      <c r="F36" s="52">
        <v>1.53</v>
      </c>
      <c r="G36" s="146"/>
      <c r="H36" s="148">
        <f>J36</f>
        <v>546.21</v>
      </c>
      <c r="I36" s="146"/>
      <c r="J36" s="53">
        <f>D36*F36</f>
        <v>546.21</v>
      </c>
      <c r="K36" s="146"/>
      <c r="L36" s="146"/>
      <c r="M36" s="146"/>
    </row>
    <row r="37" spans="1:13" ht="45.75" customHeight="1">
      <c r="A37" s="142"/>
      <c r="B37" s="155"/>
      <c r="C37" s="157"/>
      <c r="D37" s="142"/>
      <c r="E37" s="52"/>
      <c r="F37" s="52"/>
      <c r="G37" s="147"/>
      <c r="H37" s="149"/>
      <c r="I37" s="147"/>
      <c r="J37" s="53"/>
      <c r="K37" s="147"/>
      <c r="L37" s="147"/>
      <c r="M37" s="147"/>
    </row>
    <row r="38" spans="1:13" ht="37.5" customHeight="1">
      <c r="A38" s="141" t="s">
        <v>45</v>
      </c>
      <c r="B38" s="154" t="s">
        <v>56</v>
      </c>
      <c r="C38" s="156" t="s">
        <v>58</v>
      </c>
      <c r="D38" s="139">
        <f>('Смета на строительство'!D49*2)+('Смета на строительство'!D49-'Смета на строительство'!D32)*2</f>
        <v>9272</v>
      </c>
      <c r="E38" s="39">
        <v>0.962</v>
      </c>
      <c r="F38" s="52"/>
      <c r="G38" s="150"/>
      <c r="H38" s="148">
        <f>I38</f>
        <v>8919.663999999999</v>
      </c>
      <c r="I38" s="150">
        <f>E39*D38</f>
        <v>8919.663999999999</v>
      </c>
      <c r="J38" s="58"/>
      <c r="K38" s="148"/>
      <c r="L38" s="148">
        <v>0.1</v>
      </c>
      <c r="M38" s="148">
        <f>D38*L38</f>
        <v>927.2</v>
      </c>
    </row>
    <row r="39" spans="1:13" ht="37.5" customHeight="1">
      <c r="A39" s="142"/>
      <c r="B39" s="155"/>
      <c r="C39" s="157"/>
      <c r="D39" s="140"/>
      <c r="E39" s="39">
        <v>0.962</v>
      </c>
      <c r="F39" s="52"/>
      <c r="G39" s="151"/>
      <c r="H39" s="149"/>
      <c r="I39" s="151"/>
      <c r="J39" s="58"/>
      <c r="K39" s="149"/>
      <c r="L39" s="149"/>
      <c r="M39" s="149"/>
    </row>
    <row r="40" spans="1:13" ht="48.75" customHeight="1">
      <c r="A40" s="141" t="s">
        <v>46</v>
      </c>
      <c r="B40" s="154" t="s">
        <v>22</v>
      </c>
      <c r="C40" s="156" t="s">
        <v>140</v>
      </c>
      <c r="D40" s="139">
        <f>D49*6*0.08*0.08/100</f>
        <v>1.164288</v>
      </c>
      <c r="E40" s="39">
        <v>1995.2</v>
      </c>
      <c r="F40" s="39">
        <v>7.39</v>
      </c>
      <c r="G40" s="150">
        <v>1963.57</v>
      </c>
      <c r="H40" s="148">
        <f>I40+J40+K40</f>
        <v>2322.9874176</v>
      </c>
      <c r="I40" s="150">
        <f>E41*D40</f>
        <v>28.22234112</v>
      </c>
      <c r="J40" s="39">
        <f>F40*D40</f>
        <v>8.604088319999999</v>
      </c>
      <c r="K40" s="148">
        <f>G40*D40</f>
        <v>2286.1609881599998</v>
      </c>
      <c r="L40" s="148">
        <v>2.673</v>
      </c>
      <c r="M40" s="148">
        <f>D40*L40</f>
        <v>3.112141824</v>
      </c>
    </row>
    <row r="41" spans="1:13" ht="48.75" customHeight="1">
      <c r="A41" s="142"/>
      <c r="B41" s="155"/>
      <c r="C41" s="157"/>
      <c r="D41" s="140"/>
      <c r="E41" s="39">
        <v>24.24</v>
      </c>
      <c r="F41" s="39">
        <v>0.22</v>
      </c>
      <c r="G41" s="151"/>
      <c r="H41" s="149"/>
      <c r="I41" s="151"/>
      <c r="J41" s="58">
        <f>F41*D40</f>
        <v>0.25614336</v>
      </c>
      <c r="K41" s="149"/>
      <c r="L41" s="149"/>
      <c r="M41" s="149"/>
    </row>
    <row r="42" spans="1:17" s="63" customFormat="1" ht="48.75" customHeight="1">
      <c r="A42" s="158" t="s">
        <v>47</v>
      </c>
      <c r="B42" s="160" t="s">
        <v>61</v>
      </c>
      <c r="C42" s="162" t="s">
        <v>72</v>
      </c>
      <c r="D42" s="139">
        <f>D49*1.2/100</f>
        <v>36.384</v>
      </c>
      <c r="E42" s="68">
        <v>438.77</v>
      </c>
      <c r="F42" s="68">
        <v>116.27</v>
      </c>
      <c r="G42" s="137"/>
      <c r="H42" s="132">
        <f>K42+J42+I42</f>
        <v>15964.20768</v>
      </c>
      <c r="I42" s="132">
        <f>D42*E43</f>
        <v>11733.84</v>
      </c>
      <c r="J42" s="70">
        <f>D42*F42</f>
        <v>4230.36768</v>
      </c>
      <c r="K42" s="137"/>
      <c r="L42" s="132">
        <v>36.4</v>
      </c>
      <c r="M42" s="132">
        <f>D42*L42</f>
        <v>1324.3776</v>
      </c>
      <c r="N42" s="62"/>
      <c r="O42" s="62"/>
      <c r="P42" s="62"/>
      <c r="Q42" s="62"/>
    </row>
    <row r="43" spans="1:17" s="63" customFormat="1" ht="48.75" customHeight="1">
      <c r="A43" s="159"/>
      <c r="B43" s="161"/>
      <c r="C43" s="163"/>
      <c r="D43" s="140"/>
      <c r="E43" s="68">
        <v>322.5</v>
      </c>
      <c r="F43" s="68">
        <v>16.2</v>
      </c>
      <c r="G43" s="138"/>
      <c r="H43" s="133"/>
      <c r="I43" s="133"/>
      <c r="J43" s="69">
        <f>D42*F43</f>
        <v>589.4208</v>
      </c>
      <c r="K43" s="138"/>
      <c r="L43" s="133"/>
      <c r="M43" s="133"/>
      <c r="N43" s="62"/>
      <c r="O43" s="62"/>
      <c r="P43" s="62"/>
      <c r="Q43" s="62"/>
    </row>
    <row r="44" spans="1:17" s="63" customFormat="1" ht="55.5" customHeight="1">
      <c r="A44" s="158" t="s">
        <v>65</v>
      </c>
      <c r="B44" s="160" t="s">
        <v>62</v>
      </c>
      <c r="C44" s="164" t="s">
        <v>73</v>
      </c>
      <c r="D44" s="134">
        <f>D42*-1</f>
        <v>-36.384</v>
      </c>
      <c r="E44" s="68">
        <v>135.93</v>
      </c>
      <c r="F44" s="68">
        <v>75.58</v>
      </c>
      <c r="G44" s="135"/>
      <c r="H44" s="132">
        <f>I44+J44+K44</f>
        <v>-4945.67712</v>
      </c>
      <c r="I44" s="132">
        <f>D44*E45</f>
        <v>-2195.7744000000002</v>
      </c>
      <c r="J44" s="70">
        <f>D44*F44</f>
        <v>-2749.90272</v>
      </c>
      <c r="K44" s="135"/>
      <c r="L44" s="132">
        <v>6.812</v>
      </c>
      <c r="M44" s="132">
        <f>D44*L44</f>
        <v>-247.84780800000001</v>
      </c>
      <c r="N44" s="62"/>
      <c r="O44" s="62"/>
      <c r="P44" s="62"/>
      <c r="Q44" s="62"/>
    </row>
    <row r="45" spans="1:17" s="63" customFormat="1" ht="55.5" customHeight="1">
      <c r="A45" s="159"/>
      <c r="B45" s="161"/>
      <c r="C45" s="165"/>
      <c r="D45" s="120"/>
      <c r="E45" s="68">
        <v>60.35</v>
      </c>
      <c r="F45" s="68">
        <v>10.53</v>
      </c>
      <c r="G45" s="136"/>
      <c r="H45" s="133"/>
      <c r="I45" s="133"/>
      <c r="J45" s="70">
        <f>D44*F45</f>
        <v>-383.12352</v>
      </c>
      <c r="K45" s="136"/>
      <c r="L45" s="133"/>
      <c r="M45" s="133"/>
      <c r="N45" s="62"/>
      <c r="O45" s="62"/>
      <c r="P45" s="62"/>
      <c r="Q45" s="62"/>
    </row>
    <row r="46" spans="1:17" s="63" customFormat="1" ht="39.75" customHeight="1">
      <c r="A46" s="158" t="s">
        <v>66</v>
      </c>
      <c r="B46" s="195" t="s">
        <v>63</v>
      </c>
      <c r="C46" s="162" t="s">
        <v>64</v>
      </c>
      <c r="D46" s="134">
        <f>D49*0.07*1.05</f>
        <v>222.85200000000003</v>
      </c>
      <c r="E46" s="68">
        <v>116.61</v>
      </c>
      <c r="F46" s="71"/>
      <c r="G46" s="135">
        <v>116.61</v>
      </c>
      <c r="H46" s="132">
        <f>I46+J46+K46</f>
        <v>25986.771720000004</v>
      </c>
      <c r="I46" s="135"/>
      <c r="J46" s="69"/>
      <c r="K46" s="132">
        <f>D46*G46</f>
        <v>25986.771720000004</v>
      </c>
      <c r="L46" s="137"/>
      <c r="M46" s="137"/>
      <c r="N46" s="62"/>
      <c r="O46" s="62"/>
      <c r="P46" s="62"/>
      <c r="Q46" s="62"/>
    </row>
    <row r="47" spans="1:17" s="63" customFormat="1" ht="39.75" customHeight="1">
      <c r="A47" s="159"/>
      <c r="B47" s="196"/>
      <c r="C47" s="163"/>
      <c r="D47" s="120"/>
      <c r="E47" s="71"/>
      <c r="F47" s="71"/>
      <c r="G47" s="136"/>
      <c r="H47" s="133"/>
      <c r="I47" s="136"/>
      <c r="J47" s="69"/>
      <c r="K47" s="133"/>
      <c r="L47" s="138"/>
      <c r="M47" s="138"/>
      <c r="N47" s="62"/>
      <c r="O47" s="62"/>
      <c r="P47" s="62"/>
      <c r="Q47" s="62"/>
    </row>
    <row r="48" spans="1:14" s="1" customFormat="1" ht="18">
      <c r="A48" s="144" t="s">
        <v>44</v>
      </c>
      <c r="B48" s="144"/>
      <c r="C48" s="145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43"/>
    </row>
    <row r="49" spans="1:14" ht="37.5" customHeight="1">
      <c r="A49" s="141" t="s">
        <v>67</v>
      </c>
      <c r="B49" s="154" t="s">
        <v>20</v>
      </c>
      <c r="C49" s="156" t="str">
        <f>CONCATENATE("Плита бетонная гибкая, марка ","«ПБЗГУ-",'Ввод данных'!B17,"»"," (включая ремонтный запас ",RIGHT('Ввод данных'!B20,3)*100,"% по нормативу согласно 5856-002-59565714-2012 РЭ) (шт)")</f>
        <v>Плита бетонная гибкая, марка «ПБЗГУ-405» (включая ремонтный запас 3% по нормативу согласно 5856-002-59565714-2012 РЭ) (шт)</v>
      </c>
      <c r="D49" s="141">
        <f>'Ввод данных'!B21</f>
        <v>3032</v>
      </c>
      <c r="E49" s="52">
        <f>IF('Ввод данных'!B17=405,1325.8,IF('Ввод данных'!B17=105,1740.47))</f>
        <v>1325.8</v>
      </c>
      <c r="F49" s="57"/>
      <c r="G49" s="150">
        <f>E49</f>
        <v>1325.8</v>
      </c>
      <c r="H49" s="148">
        <f>K49</f>
        <v>4019825.6</v>
      </c>
      <c r="I49" s="146"/>
      <c r="J49" s="146"/>
      <c r="K49" s="148">
        <f>D49*G49</f>
        <v>4019825.6</v>
      </c>
      <c r="L49" s="146"/>
      <c r="M49" s="150"/>
      <c r="N49" s="104"/>
    </row>
    <row r="50" spans="1:13" ht="37.5" customHeight="1">
      <c r="A50" s="142"/>
      <c r="B50" s="155"/>
      <c r="C50" s="157"/>
      <c r="D50" s="142"/>
      <c r="E50" s="52"/>
      <c r="F50" s="57"/>
      <c r="G50" s="151"/>
      <c r="H50" s="149"/>
      <c r="I50" s="147"/>
      <c r="J50" s="147"/>
      <c r="K50" s="149"/>
      <c r="L50" s="147"/>
      <c r="M50" s="151"/>
    </row>
    <row r="51" spans="1:13" ht="22.5" customHeight="1">
      <c r="A51" s="166" t="s">
        <v>42</v>
      </c>
      <c r="B51" s="167"/>
      <c r="C51" s="167"/>
      <c r="D51" s="167"/>
      <c r="E51" s="167"/>
      <c r="F51" s="167"/>
      <c r="G51" s="168"/>
      <c r="H51" s="153">
        <f>I51+J51+K51</f>
        <v>4961505.373359965</v>
      </c>
      <c r="I51" s="153">
        <f>I20+I22+I26+I30+I38+I42+I44</f>
        <v>126406.03641012429</v>
      </c>
      <c r="J51" s="41">
        <f>J20+J22+J26+J30+J34+J36+J42+J44</f>
        <v>125150.6626224646</v>
      </c>
      <c r="K51" s="153">
        <f>K22+K26+K24+K49+K40+K32+K28+K46</f>
        <v>4709948.674327376</v>
      </c>
      <c r="L51" s="152"/>
      <c r="M51" s="153">
        <f>SUM(M20:M50)</f>
        <v>14037.034441656802</v>
      </c>
    </row>
    <row r="52" spans="1:13" ht="12.75">
      <c r="A52" s="169"/>
      <c r="B52" s="170"/>
      <c r="C52" s="170"/>
      <c r="D52" s="170"/>
      <c r="E52" s="170"/>
      <c r="F52" s="170"/>
      <c r="G52" s="171"/>
      <c r="H52" s="151"/>
      <c r="I52" s="151"/>
      <c r="J52" s="39">
        <f>J21+J23+J27+J35+J43+J45</f>
        <v>14194.811304723271</v>
      </c>
      <c r="K52" s="151"/>
      <c r="L52" s="147"/>
      <c r="M52" s="151"/>
    </row>
    <row r="53" spans="1:13" ht="12.75">
      <c r="A53" s="201" t="s">
        <v>27</v>
      </c>
      <c r="B53" s="202"/>
      <c r="C53" s="202"/>
      <c r="D53" s="202"/>
      <c r="E53" s="202"/>
      <c r="F53" s="202"/>
      <c r="G53" s="202"/>
      <c r="H53" s="40">
        <f>0.95*(E21+F21)*D20+0.89*(E23+F23)*D22+0.89*(E27+F27)*D26+0.87*(E31+F31)*D30+0.87*(0+F35)*D34+0.95*(E39+0)*D38+0.9*(E41+F41)*D40+0.89*(E43+F43)*D42+0.89*(E45+F45)*D44</f>
        <v>124590.85703310883</v>
      </c>
      <c r="I53" s="44"/>
      <c r="J53" s="44"/>
      <c r="K53" s="44"/>
      <c r="L53" s="44"/>
      <c r="M53" s="44"/>
    </row>
    <row r="54" spans="1:13" ht="12.75">
      <c r="A54" s="201" t="s">
        <v>28</v>
      </c>
      <c r="B54" s="202"/>
      <c r="C54" s="202"/>
      <c r="D54" s="202"/>
      <c r="E54" s="202"/>
      <c r="F54" s="202"/>
      <c r="G54" s="202"/>
      <c r="H54" s="40">
        <f>0.5*(E21+F21)*D20+0.7*(E23+F23)*D22+0.7*(E27+F27)*D26+0.6*(E31+F31)*D30+0.6*(0+F35)*D34+0.7*(E41+F41)*D40+0.65*(E39+0)*D38+0.7*(E43+F43)*D40+0.7*(E43+F43)*D42+0.7*(E45+F45)*D44</f>
        <v>90117.87227857423</v>
      </c>
      <c r="I54" s="44"/>
      <c r="J54" s="44"/>
      <c r="K54" s="44"/>
      <c r="L54" s="44"/>
      <c r="M54" s="44"/>
    </row>
    <row r="55" spans="1:13" ht="12.75">
      <c r="A55" s="203" t="s">
        <v>29</v>
      </c>
      <c r="B55" s="202"/>
      <c r="C55" s="202"/>
      <c r="D55" s="202"/>
      <c r="E55" s="202"/>
      <c r="F55" s="202"/>
      <c r="G55" s="202"/>
      <c r="H55" s="45">
        <f>H51+H53+H54</f>
        <v>5176214.102671648</v>
      </c>
      <c r="I55" s="46"/>
      <c r="J55" s="44"/>
      <c r="K55" s="44"/>
      <c r="L55" s="44"/>
      <c r="M55" s="47">
        <f>M51</f>
        <v>14037.034441656802</v>
      </c>
    </row>
    <row r="56" spans="1:13" ht="12.75">
      <c r="A56" s="201" t="s">
        <v>30</v>
      </c>
      <c r="B56" s="202"/>
      <c r="C56" s="202"/>
      <c r="D56" s="202"/>
      <c r="E56" s="202"/>
      <c r="F56" s="202"/>
      <c r="G56" s="202"/>
      <c r="H56" s="44"/>
      <c r="I56" s="44"/>
      <c r="J56" s="44"/>
      <c r="K56" s="44"/>
      <c r="L56" s="44"/>
      <c r="M56" s="48"/>
    </row>
    <row r="57" spans="1:13" ht="12.75">
      <c r="A57" s="201" t="s">
        <v>31</v>
      </c>
      <c r="B57" s="202"/>
      <c r="C57" s="202"/>
      <c r="D57" s="202"/>
      <c r="E57" s="202"/>
      <c r="F57" s="202"/>
      <c r="G57" s="202"/>
      <c r="H57" s="40">
        <f>K51</f>
        <v>4709948.674327376</v>
      </c>
      <c r="I57" s="44"/>
      <c r="J57" s="44"/>
      <c r="K57" s="44"/>
      <c r="L57" s="44"/>
      <c r="M57" s="48"/>
    </row>
    <row r="58" spans="1:13" ht="12.75">
      <c r="A58" s="201" t="s">
        <v>32</v>
      </c>
      <c r="B58" s="202"/>
      <c r="C58" s="202"/>
      <c r="D58" s="202"/>
      <c r="E58" s="202"/>
      <c r="F58" s="202"/>
      <c r="G58" s="202"/>
      <c r="H58" s="40">
        <f>J51</f>
        <v>125150.6626224646</v>
      </c>
      <c r="I58" s="44"/>
      <c r="J58" s="44"/>
      <c r="K58" s="44"/>
      <c r="L58" s="44"/>
      <c r="M58" s="48"/>
    </row>
    <row r="59" spans="1:13" ht="12.75">
      <c r="A59" s="201" t="s">
        <v>33</v>
      </c>
      <c r="B59" s="202"/>
      <c r="C59" s="202"/>
      <c r="D59" s="202"/>
      <c r="E59" s="202"/>
      <c r="F59" s="202"/>
      <c r="G59" s="202"/>
      <c r="H59" s="40">
        <f>I51+J52</f>
        <v>140600.84771484756</v>
      </c>
      <c r="I59" s="44"/>
      <c r="J59" s="44"/>
      <c r="K59" s="44"/>
      <c r="L59" s="44"/>
      <c r="M59" s="48"/>
    </row>
    <row r="60" spans="1:13" ht="12.75">
      <c r="A60" s="201" t="s">
        <v>34</v>
      </c>
      <c r="B60" s="202"/>
      <c r="C60" s="202"/>
      <c r="D60" s="202"/>
      <c r="E60" s="202"/>
      <c r="F60" s="202"/>
      <c r="G60" s="202"/>
      <c r="H60" s="40">
        <f>H53</f>
        <v>124590.85703310883</v>
      </c>
      <c r="I60" s="44"/>
      <c r="J60" s="44"/>
      <c r="K60" s="44"/>
      <c r="L60" s="44"/>
      <c r="M60" s="48"/>
    </row>
    <row r="61" spans="1:13" ht="12.75">
      <c r="A61" s="201" t="s">
        <v>35</v>
      </c>
      <c r="B61" s="202"/>
      <c r="C61" s="202"/>
      <c r="D61" s="202"/>
      <c r="E61" s="202"/>
      <c r="F61" s="202"/>
      <c r="G61" s="202"/>
      <c r="H61" s="40">
        <f>H54</f>
        <v>90117.87227857423</v>
      </c>
      <c r="I61" s="44"/>
      <c r="J61" s="44"/>
      <c r="K61" s="44"/>
      <c r="L61" s="44"/>
      <c r="M61" s="48"/>
    </row>
    <row r="62" spans="1:13" ht="12.75">
      <c r="A62" s="203" t="s">
        <v>36</v>
      </c>
      <c r="B62" s="202"/>
      <c r="C62" s="202"/>
      <c r="D62" s="202"/>
      <c r="E62" s="202"/>
      <c r="F62" s="202"/>
      <c r="G62" s="202"/>
      <c r="H62" s="49">
        <f>H55</f>
        <v>5176214.102671648</v>
      </c>
      <c r="I62" s="44"/>
      <c r="J62" s="44"/>
      <c r="K62" s="44"/>
      <c r="L62" s="44"/>
      <c r="M62" s="47">
        <f>M51</f>
        <v>14037.034441656802</v>
      </c>
    </row>
    <row r="63" spans="6:8" ht="12.75">
      <c r="F63" s="7"/>
      <c r="G63" s="51" t="s">
        <v>146</v>
      </c>
      <c r="H63" s="49">
        <f>H62/'Ввод данных'!B5/'Ввод данных'!B12</f>
        <v>613.6991834393893</v>
      </c>
    </row>
    <row r="64" spans="7:8" ht="12.75">
      <c r="G64" s="51" t="s">
        <v>145</v>
      </c>
      <c r="H64" s="49">
        <f>H62/('Ввод данных'!B21/IF('Ввод данных'!B17=405,1.03,1.02)*3.5)</f>
        <v>502.4029896109873</v>
      </c>
    </row>
    <row r="65" ht="12.75">
      <c r="H65" s="50"/>
    </row>
  </sheetData>
  <sheetProtection/>
  <mergeCells count="189">
    <mergeCell ref="E15:G15"/>
    <mergeCell ref="H15:K15"/>
    <mergeCell ref="L15:M16"/>
    <mergeCell ref="G16:G17"/>
    <mergeCell ref="H16:H17"/>
    <mergeCell ref="K16:K17"/>
    <mergeCell ref="I16:I17"/>
    <mergeCell ref="A62:G62"/>
    <mergeCell ref="D11:E11"/>
    <mergeCell ref="D12:E12"/>
    <mergeCell ref="A57:G57"/>
    <mergeCell ref="A58:G58"/>
    <mergeCell ref="A59:G59"/>
    <mergeCell ref="A60:G60"/>
    <mergeCell ref="A20:A21"/>
    <mergeCell ref="A19:M19"/>
    <mergeCell ref="A61:G61"/>
    <mergeCell ref="A53:G53"/>
    <mergeCell ref="A54:G54"/>
    <mergeCell ref="A55:G55"/>
    <mergeCell ref="A56:G56"/>
    <mergeCell ref="A15:A17"/>
    <mergeCell ref="B15:B17"/>
    <mergeCell ref="C15:C17"/>
    <mergeCell ref="D15:D17"/>
    <mergeCell ref="B20:B21"/>
    <mergeCell ref="C20:C21"/>
    <mergeCell ref="A22:A23"/>
    <mergeCell ref="B22:B23"/>
    <mergeCell ref="C22:C23"/>
    <mergeCell ref="B34:B35"/>
    <mergeCell ref="B38:B39"/>
    <mergeCell ref="C38:C39"/>
    <mergeCell ref="A40:A41"/>
    <mergeCell ref="C34:C35"/>
    <mergeCell ref="B40:B41"/>
    <mergeCell ref="A36:A37"/>
    <mergeCell ref="B36:B37"/>
    <mergeCell ref="C36:C37"/>
    <mergeCell ref="A34:A35"/>
    <mergeCell ref="B46:B47"/>
    <mergeCell ref="C46:C47"/>
    <mergeCell ref="C40:C41"/>
    <mergeCell ref="B44:B45"/>
    <mergeCell ref="C28:C29"/>
    <mergeCell ref="A30:A31"/>
    <mergeCell ref="B30:B31"/>
    <mergeCell ref="C30:C31"/>
    <mergeCell ref="C24:C25"/>
    <mergeCell ref="A26:A27"/>
    <mergeCell ref="B26:B27"/>
    <mergeCell ref="C26:C27"/>
    <mergeCell ref="A32:A33"/>
    <mergeCell ref="B32:B33"/>
    <mergeCell ref="A24:A25"/>
    <mergeCell ref="B24:B25"/>
    <mergeCell ref="A28:A29"/>
    <mergeCell ref="B28:B29"/>
    <mergeCell ref="D36:D37"/>
    <mergeCell ref="D38:D39"/>
    <mergeCell ref="G38:G39"/>
    <mergeCell ref="H38:H39"/>
    <mergeCell ref="I38:I39"/>
    <mergeCell ref="I28:I29"/>
    <mergeCell ref="E28:E29"/>
    <mergeCell ref="G28:G29"/>
    <mergeCell ref="G30:G31"/>
    <mergeCell ref="G36:G37"/>
    <mergeCell ref="G22:G23"/>
    <mergeCell ref="H22:H23"/>
    <mergeCell ref="M20:M21"/>
    <mergeCell ref="J24:J25"/>
    <mergeCell ref="K24:K25"/>
    <mergeCell ref="L24:L25"/>
    <mergeCell ref="M24:M25"/>
    <mergeCell ref="I24:I25"/>
    <mergeCell ref="K20:K21"/>
    <mergeCell ref="L20:L21"/>
    <mergeCell ref="I26:I27"/>
    <mergeCell ref="K26:K27"/>
    <mergeCell ref="H20:H21"/>
    <mergeCell ref="I20:I21"/>
    <mergeCell ref="H24:H25"/>
    <mergeCell ref="D32:D33"/>
    <mergeCell ref="G24:G25"/>
    <mergeCell ref="D24:D25"/>
    <mergeCell ref="H28:H29"/>
    <mergeCell ref="D28:D29"/>
    <mergeCell ref="G26:G27"/>
    <mergeCell ref="H30:H31"/>
    <mergeCell ref="G32:G33"/>
    <mergeCell ref="H32:H33"/>
    <mergeCell ref="H26:H27"/>
    <mergeCell ref="M22:M23"/>
    <mergeCell ref="L26:L27"/>
    <mergeCell ref="M26:M27"/>
    <mergeCell ref="K28:K29"/>
    <mergeCell ref="M28:M29"/>
    <mergeCell ref="K40:K41"/>
    <mergeCell ref="L40:L41"/>
    <mergeCell ref="L28:L29"/>
    <mergeCell ref="K22:K23"/>
    <mergeCell ref="K30:K31"/>
    <mergeCell ref="L32:L33"/>
    <mergeCell ref="A1:B1"/>
    <mergeCell ref="K1:L1"/>
    <mergeCell ref="B8:L8"/>
    <mergeCell ref="B4:L4"/>
    <mergeCell ref="B6:L6"/>
    <mergeCell ref="J49:J50"/>
    <mergeCell ref="K49:K50"/>
    <mergeCell ref="L22:L23"/>
    <mergeCell ref="I22:I23"/>
    <mergeCell ref="I40:I41"/>
    <mergeCell ref="K38:K39"/>
    <mergeCell ref="L49:L50"/>
    <mergeCell ref="I30:I31"/>
    <mergeCell ref="L30:L31"/>
    <mergeCell ref="L44:L45"/>
    <mergeCell ref="K51:K52"/>
    <mergeCell ref="A51:G52"/>
    <mergeCell ref="H51:H52"/>
    <mergeCell ref="I51:I52"/>
    <mergeCell ref="A49:A50"/>
    <mergeCell ref="B49:B50"/>
    <mergeCell ref="C49:C50"/>
    <mergeCell ref="A38:A39"/>
    <mergeCell ref="A42:A43"/>
    <mergeCell ref="B42:B43"/>
    <mergeCell ref="C42:C43"/>
    <mergeCell ref="A44:A45"/>
    <mergeCell ref="C44:C45"/>
    <mergeCell ref="A46:A47"/>
    <mergeCell ref="M49:M50"/>
    <mergeCell ref="H36:H37"/>
    <mergeCell ref="G34:G35"/>
    <mergeCell ref="H34:H35"/>
    <mergeCell ref="L38:L39"/>
    <mergeCell ref="L42:L43"/>
    <mergeCell ref="G49:G50"/>
    <mergeCell ref="H49:H50"/>
    <mergeCell ref="I49:I50"/>
    <mergeCell ref="I46:I47"/>
    <mergeCell ref="M30:M31"/>
    <mergeCell ref="G40:G41"/>
    <mergeCell ref="H40:H41"/>
    <mergeCell ref="L51:L52"/>
    <mergeCell ref="M51:M52"/>
    <mergeCell ref="M36:M37"/>
    <mergeCell ref="K36:K37"/>
    <mergeCell ref="L36:L37"/>
    <mergeCell ref="M40:M41"/>
    <mergeCell ref="M38:M39"/>
    <mergeCell ref="M32:M33"/>
    <mergeCell ref="I36:I37"/>
    <mergeCell ref="I32:I33"/>
    <mergeCell ref="K32:K33"/>
    <mergeCell ref="I34:I35"/>
    <mergeCell ref="K34:K35"/>
    <mergeCell ref="L34:L35"/>
    <mergeCell ref="M34:M35"/>
    <mergeCell ref="D49:D50"/>
    <mergeCell ref="D10:E10"/>
    <mergeCell ref="A48:M48"/>
    <mergeCell ref="D26:D27"/>
    <mergeCell ref="D22:D23"/>
    <mergeCell ref="D20:D21"/>
    <mergeCell ref="D34:D35"/>
    <mergeCell ref="D30:D31"/>
    <mergeCell ref="G20:G21"/>
    <mergeCell ref="M42:M43"/>
    <mergeCell ref="D42:D43"/>
    <mergeCell ref="K42:K43"/>
    <mergeCell ref="D40:D41"/>
    <mergeCell ref="G44:G45"/>
    <mergeCell ref="H42:H43"/>
    <mergeCell ref="G42:G43"/>
    <mergeCell ref="I42:I43"/>
    <mergeCell ref="H44:H45"/>
    <mergeCell ref="I44:I45"/>
    <mergeCell ref="K44:K45"/>
    <mergeCell ref="M44:M45"/>
    <mergeCell ref="D46:D47"/>
    <mergeCell ref="G46:G47"/>
    <mergeCell ref="H46:H47"/>
    <mergeCell ref="K46:K47"/>
    <mergeCell ref="L46:L47"/>
    <mergeCell ref="M46:M47"/>
    <mergeCell ref="D44:D45"/>
  </mergeCells>
  <printOptions/>
  <pageMargins left="0.1968503937007874" right="0.1968503937007874" top="0.7874015748031497" bottom="0.7874015748031497" header="0.31496062992125984" footer="0.2362204724409449"/>
  <pageSetup fitToHeight="1000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workbookViewId="0" topLeftCell="A35">
      <selection activeCell="D25" sqref="D25"/>
    </sheetView>
  </sheetViews>
  <sheetFormatPr defaultColWidth="9.00390625" defaultRowHeight="12.75"/>
  <cols>
    <col min="1" max="1" width="100.75390625" style="108" customWidth="1"/>
    <col min="2" max="16384" width="9.125" style="108" customWidth="1"/>
  </cols>
  <sheetData>
    <row r="1" ht="18.75">
      <c r="A1" s="107" t="s">
        <v>113</v>
      </c>
    </row>
    <row r="2" ht="18.75">
      <c r="A2" s="107"/>
    </row>
    <row r="3" ht="15.75">
      <c r="A3" s="109" t="s">
        <v>60</v>
      </c>
    </row>
    <row r="4" ht="15.75">
      <c r="A4" s="109" t="s">
        <v>135</v>
      </c>
    </row>
    <row r="5" ht="15.75">
      <c r="A5" s="109" t="str">
        <f>CONCATENATE("с размерами ",'Ввод данных'!B5," м на ",ROUND('Ввод данных'!B12,2)," м плитами бетонными гибкими марки ПБЗГУ-",'Ввод данных'!B17)</f>
        <v>с размерами 920 м на 9,17 м плитами бетонными гибкими марки ПБЗГУ-405</v>
      </c>
    </row>
    <row r="6" spans="1:5" ht="15.75">
      <c r="A6" s="110"/>
      <c r="E6" s="111"/>
    </row>
    <row r="7" ht="48" customHeight="1">
      <c r="A7" s="112" t="s">
        <v>114</v>
      </c>
    </row>
    <row r="8" ht="15.75">
      <c r="A8" s="113" t="s">
        <v>115</v>
      </c>
    </row>
    <row r="9" ht="15.75">
      <c r="A9" s="113" t="s">
        <v>116</v>
      </c>
    </row>
    <row r="10" ht="47.25">
      <c r="A10" s="113" t="s">
        <v>117</v>
      </c>
    </row>
    <row r="11" ht="69.75" customHeight="1">
      <c r="A11" s="113" t="s">
        <v>118</v>
      </c>
    </row>
    <row r="12" ht="48.75" customHeight="1">
      <c r="A12" s="113" t="s">
        <v>159</v>
      </c>
    </row>
    <row r="13" ht="31.5">
      <c r="A13" s="113" t="s">
        <v>119</v>
      </c>
    </row>
    <row r="14" ht="15.75">
      <c r="A14" s="113" t="str">
        <f>CONCATENATE("3.3. Крепление откоса ГБ-плитами марки ПБЗГУ-",'Ввод данных'!B17,".")</f>
        <v>3.3. Крепление откоса ГБ-плитами марки ПБЗГУ-405.</v>
      </c>
    </row>
    <row r="15" ht="31.5">
      <c r="A15" s="113" t="str">
        <f>CONCATENATE("При применении нормы была произведена замена плит для облицовки каналов толщиной ",IF('Ввод данных'!B17=405,15,20)," см на ГБ-плиты марки ПБЗГУ-",'Ввод данных'!B17," (код ресурса ФССЦ-05.2.04.02-000",IF('Ввод данных'!B17=405,3,1),") толщиной ",IF('Ввод данных'!B17=405,15,24)," см.")</f>
        <v>При применении нормы была произведена замена плит для облицовки каналов толщиной 15 см на ГБ-плиты марки ПБЗГУ-405 (код ресурса ФССЦ-05.2.04.02-0003) толщиной 15 см.</v>
      </c>
    </row>
    <row r="16" ht="63">
      <c r="A16" s="113" t="s">
        <v>138</v>
      </c>
    </row>
    <row r="17" ht="141.75">
      <c r="A17" s="114" t="s">
        <v>120</v>
      </c>
    </row>
    <row r="18" ht="63">
      <c r="A18" s="114" t="s">
        <v>121</v>
      </c>
    </row>
    <row r="19" ht="47.25">
      <c r="A19" s="114" t="s">
        <v>122</v>
      </c>
    </row>
    <row r="20" ht="45.75" customHeight="1">
      <c r="A20" s="113" t="str">
        <f>CONCATENATE("В соответствии с требованиями п. 4.14 СП 58.13330.2012  объем ПБЗГУ взят с учетом ",IF('Ввод данных'!B17=405,3,2),"% запаса (требования технических условий ТУ 23.61.11-001-59565714-2019) для ликвидации и локализации возможных аварий и чрезвычайных ситуаций.")</f>
        <v>В соответствии с требованиями п. 4.14 СП 58.13330.2012  объем ПБЗГУ взят с учетом 3% запаса (требования технических условий ТУ 23.61.11-001-59565714-2019) для ликвидации и локализации возможных аварий и чрезвычайных ситуаций.</v>
      </c>
    </row>
    <row r="21" ht="15.75">
      <c r="A21" s="113" t="s">
        <v>123</v>
      </c>
    </row>
    <row r="22" ht="62.25" customHeight="1">
      <c r="A22" s="113" t="s">
        <v>124</v>
      </c>
    </row>
    <row r="23" ht="31.5">
      <c r="A23" s="113" t="s">
        <v>160</v>
      </c>
    </row>
    <row r="24" ht="31.5">
      <c r="A24" s="113" t="s">
        <v>161</v>
      </c>
    </row>
    <row r="25" ht="15.75">
      <c r="A25" s="113" t="s">
        <v>125</v>
      </c>
    </row>
    <row r="26" ht="47.25">
      <c r="A26" s="113" t="s">
        <v>126</v>
      </c>
    </row>
    <row r="27" ht="15.75">
      <c r="A27" s="113" t="s">
        <v>127</v>
      </c>
    </row>
    <row r="28" ht="31.5">
      <c r="A28" s="113" t="s">
        <v>128</v>
      </c>
    </row>
    <row r="29" ht="31.5">
      <c r="A29" s="113" t="s">
        <v>129</v>
      </c>
    </row>
    <row r="30" ht="94.5">
      <c r="A30" s="113" t="s">
        <v>130</v>
      </c>
    </row>
    <row r="31" ht="31.5">
      <c r="A31" s="113" t="s">
        <v>141</v>
      </c>
    </row>
    <row r="32" ht="94.5">
      <c r="A32" s="113" t="s">
        <v>142</v>
      </c>
    </row>
    <row r="33" ht="37.5">
      <c r="A33" s="113" t="s">
        <v>143</v>
      </c>
    </row>
    <row r="34" ht="37.5">
      <c r="A34" s="113" t="s">
        <v>144</v>
      </c>
    </row>
    <row r="35" ht="15.75">
      <c r="A35" s="114"/>
    </row>
    <row r="36" ht="15.75">
      <c r="A36" s="114" t="s">
        <v>131</v>
      </c>
    </row>
    <row r="37" ht="34.5">
      <c r="A37" s="115" t="s">
        <v>132</v>
      </c>
    </row>
    <row r="38" ht="34.5">
      <c r="A38" s="115" t="s">
        <v>133</v>
      </c>
    </row>
    <row r="39" ht="34.5">
      <c r="A39" s="115" t="s">
        <v>134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24">
      <selection activeCell="B5" sqref="B5"/>
    </sheetView>
  </sheetViews>
  <sheetFormatPr defaultColWidth="9.00390625" defaultRowHeight="12.75" outlineLevelRow="2"/>
  <cols>
    <col min="1" max="1" width="4.625" style="33" customWidth="1"/>
    <col min="2" max="2" width="18.00390625" style="2" customWidth="1"/>
    <col min="3" max="3" width="34.75390625" style="3" customWidth="1"/>
    <col min="4" max="4" width="18.00390625" style="4" customWidth="1"/>
    <col min="5" max="5" width="8.75390625" style="5" customWidth="1"/>
    <col min="6" max="7" width="8.75390625" style="6" customWidth="1"/>
    <col min="8" max="8" width="13.125" style="6" customWidth="1"/>
    <col min="9" max="9" width="10.875" style="6" customWidth="1"/>
    <col min="10" max="10" width="10.25390625" style="6" customWidth="1"/>
    <col min="11" max="11" width="14.00390625" style="6" customWidth="1"/>
    <col min="12" max="12" width="8.75390625" style="6" customWidth="1"/>
    <col min="13" max="13" width="9.375" style="6" customWidth="1"/>
    <col min="14" max="14" width="9.125" style="6" customWidth="1"/>
    <col min="15" max="15" width="7.125" style="6" customWidth="1"/>
    <col min="16" max="17" width="6.25390625" style="6" customWidth="1"/>
    <col min="18" max="16384" width="9.125" style="7" customWidth="1"/>
  </cols>
  <sheetData>
    <row r="1" spans="1:12" ht="12.75" outlineLevel="2">
      <c r="A1" s="172" t="s">
        <v>3</v>
      </c>
      <c r="B1" s="172"/>
      <c r="K1" s="173" t="s">
        <v>4</v>
      </c>
      <c r="L1" s="173"/>
    </row>
    <row r="2" spans="1:10" ht="12.75" outlineLevel="1">
      <c r="A2" s="8"/>
      <c r="J2" s="9"/>
    </row>
    <row r="3" spans="1:10" ht="12.75" outlineLevel="1">
      <c r="A3" s="2"/>
      <c r="J3" s="10"/>
    </row>
    <row r="4" spans="1:14" s="20" customFormat="1" ht="19.5" customHeight="1">
      <c r="A4" s="54"/>
      <c r="B4" s="175" t="s">
        <v>156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3"/>
      <c r="N4" s="13"/>
    </row>
    <row r="5" spans="1:14" s="20" customFormat="1" ht="12.75">
      <c r="A5" s="54"/>
      <c r="B5" s="55"/>
      <c r="C5" s="13"/>
      <c r="D5" s="23"/>
      <c r="E5" s="56"/>
      <c r="F5" s="12"/>
      <c r="G5" s="12"/>
      <c r="H5" s="13"/>
      <c r="I5" s="13"/>
      <c r="J5" s="13"/>
      <c r="K5" s="13"/>
      <c r="L5" s="13"/>
      <c r="M5" s="13"/>
      <c r="N5" s="13"/>
    </row>
    <row r="6" spans="1:17" ht="15.75">
      <c r="A6" s="11"/>
      <c r="B6" s="176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P6" s="7"/>
      <c r="Q6" s="7"/>
    </row>
    <row r="7" spans="1:17" ht="12.75">
      <c r="A7" s="11"/>
      <c r="B7" s="14"/>
      <c r="C7" s="6"/>
      <c r="D7" s="15"/>
      <c r="F7" s="16"/>
      <c r="G7" s="16"/>
      <c r="H7" s="16"/>
      <c r="P7" s="7"/>
      <c r="Q7" s="7"/>
    </row>
    <row r="8" spans="1:14" s="20" customFormat="1" ht="15.75">
      <c r="A8" s="19"/>
      <c r="B8" s="174" t="str">
        <f>CONCATENATE("Ежегодного обслуживания берегового откоса с размерами ",'Ввод данных'!B5," м на ",ROUND('Ввод данных'!B12,2)," м, защищенного ГБ-плитами марки ПБЗГУ-",'Ввод данных'!B17)</f>
        <v>Ежегодного обслуживания берегового откоса с размерами 920 м на 9,17 м, защищенного ГБ-плитами марки ПБЗГУ-405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3"/>
      <c r="N8" s="13"/>
    </row>
    <row r="9" spans="1:17" ht="12.75">
      <c r="A9" s="17"/>
      <c r="B9" s="21"/>
      <c r="C9" s="22"/>
      <c r="D9" s="23"/>
      <c r="E9" s="24"/>
      <c r="F9" s="23"/>
      <c r="G9" s="23"/>
      <c r="H9" s="23"/>
      <c r="I9" s="22"/>
      <c r="J9" s="22"/>
      <c r="P9" s="7"/>
      <c r="Q9" s="7"/>
    </row>
    <row r="10" spans="1:17" ht="12.75">
      <c r="A10" s="25"/>
      <c r="B10" s="26" t="s">
        <v>39</v>
      </c>
      <c r="C10" s="29"/>
      <c r="D10" s="143">
        <f>H37/1000</f>
        <v>0.6033816255136311</v>
      </c>
      <c r="E10" s="143"/>
      <c r="F10" s="30" t="s">
        <v>37</v>
      </c>
      <c r="G10" s="27"/>
      <c r="I10" s="28"/>
      <c r="J10" s="18"/>
      <c r="P10" s="7"/>
      <c r="Q10" s="7"/>
    </row>
    <row r="11" spans="1:17" ht="12.75">
      <c r="A11" s="25"/>
      <c r="B11" s="26" t="s">
        <v>40</v>
      </c>
      <c r="C11" s="29"/>
      <c r="D11" s="204">
        <f>H34/1000</f>
        <v>0.11964330873786408</v>
      </c>
      <c r="E11" s="205"/>
      <c r="F11" s="27" t="s">
        <v>37</v>
      </c>
      <c r="G11" s="27"/>
      <c r="I11" s="28"/>
      <c r="J11" s="18"/>
      <c r="P11" s="7"/>
      <c r="Q11" s="7"/>
    </row>
    <row r="12" spans="1:17" ht="12.75" outlineLevel="1">
      <c r="A12" s="25"/>
      <c r="B12" s="26" t="s">
        <v>41</v>
      </c>
      <c r="C12" s="29"/>
      <c r="D12" s="206">
        <f>M37</f>
        <v>12.918464889786407</v>
      </c>
      <c r="E12" s="207"/>
      <c r="F12" s="27" t="s">
        <v>38</v>
      </c>
      <c r="G12" s="27"/>
      <c r="I12" s="28"/>
      <c r="J12" s="18"/>
      <c r="P12" s="7"/>
      <c r="Q12" s="7"/>
    </row>
    <row r="13" spans="1:17" ht="12.75">
      <c r="A13" s="25"/>
      <c r="B13" s="31" t="s">
        <v>76</v>
      </c>
      <c r="C13" s="32"/>
      <c r="D13" s="18"/>
      <c r="E13" s="18"/>
      <c r="F13" s="18"/>
      <c r="G13" s="18"/>
      <c r="H13" s="18"/>
      <c r="I13" s="18"/>
      <c r="J13" s="18"/>
      <c r="P13" s="7"/>
      <c r="Q13" s="7"/>
    </row>
    <row r="14" ht="12.75">
      <c r="E14" s="6"/>
    </row>
    <row r="15" spans="1:18" s="35" customFormat="1" ht="22.5" customHeight="1">
      <c r="A15" s="199" t="s">
        <v>1</v>
      </c>
      <c r="B15" s="199" t="s">
        <v>5</v>
      </c>
      <c r="C15" s="200" t="s">
        <v>6</v>
      </c>
      <c r="D15" s="200" t="s">
        <v>7</v>
      </c>
      <c r="E15" s="200" t="s">
        <v>13</v>
      </c>
      <c r="F15" s="211"/>
      <c r="G15" s="211"/>
      <c r="H15" s="200" t="s">
        <v>14</v>
      </c>
      <c r="I15" s="200"/>
      <c r="J15" s="200"/>
      <c r="K15" s="200"/>
      <c r="L15" s="200" t="s">
        <v>11</v>
      </c>
      <c r="M15" s="200"/>
      <c r="N15" s="5"/>
      <c r="O15" s="5"/>
      <c r="P15" s="5"/>
      <c r="Q15" s="5"/>
      <c r="R15" s="5"/>
    </row>
    <row r="16" spans="1:18" s="35" customFormat="1" ht="24" customHeight="1">
      <c r="A16" s="199"/>
      <c r="B16" s="199"/>
      <c r="C16" s="200"/>
      <c r="D16" s="200"/>
      <c r="E16" s="34" t="s">
        <v>8</v>
      </c>
      <c r="F16" s="34" t="s">
        <v>15</v>
      </c>
      <c r="G16" s="200" t="s">
        <v>16</v>
      </c>
      <c r="H16" s="200" t="s">
        <v>2</v>
      </c>
      <c r="I16" s="200" t="s">
        <v>10</v>
      </c>
      <c r="J16" s="34" t="s">
        <v>15</v>
      </c>
      <c r="K16" s="200" t="s">
        <v>16</v>
      </c>
      <c r="L16" s="200"/>
      <c r="M16" s="200"/>
      <c r="N16" s="5"/>
      <c r="O16" s="5"/>
      <c r="P16" s="5"/>
      <c r="Q16" s="5"/>
      <c r="R16" s="5"/>
    </row>
    <row r="17" spans="1:18" s="35" customFormat="1" ht="38.25" customHeight="1">
      <c r="A17" s="199"/>
      <c r="B17" s="199"/>
      <c r="C17" s="200"/>
      <c r="D17" s="200"/>
      <c r="E17" s="34" t="s">
        <v>10</v>
      </c>
      <c r="F17" s="34" t="s">
        <v>9</v>
      </c>
      <c r="G17" s="200"/>
      <c r="H17" s="200"/>
      <c r="I17" s="200"/>
      <c r="J17" s="34" t="s">
        <v>9</v>
      </c>
      <c r="K17" s="200"/>
      <c r="L17" s="34" t="s">
        <v>12</v>
      </c>
      <c r="M17" s="34" t="s">
        <v>8</v>
      </c>
      <c r="N17" s="5"/>
      <c r="O17" s="5"/>
      <c r="P17" s="5"/>
      <c r="Q17" s="5"/>
      <c r="R17" s="5"/>
    </row>
    <row r="18" spans="1:13" s="38" customFormat="1" ht="11.25">
      <c r="A18" s="36">
        <v>1</v>
      </c>
      <c r="B18" s="36">
        <v>2</v>
      </c>
      <c r="C18" s="34">
        <v>3</v>
      </c>
      <c r="D18" s="34">
        <v>4</v>
      </c>
      <c r="E18" s="34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37">
        <v>12</v>
      </c>
      <c r="M18" s="37">
        <v>13</v>
      </c>
    </row>
    <row r="19" spans="1:13" ht="19.5" customHeight="1">
      <c r="A19" s="208" t="s">
        <v>43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ht="48.75" customHeight="1">
      <c r="A20" s="141" t="s">
        <v>46</v>
      </c>
      <c r="B20" s="154" t="s">
        <v>22</v>
      </c>
      <c r="C20" s="156" t="s">
        <v>140</v>
      </c>
      <c r="D20" s="139">
        <f>'Ввод данных'!B21/(1+'Ввод данных'!B20)*6*0.08*0.08/100/50</f>
        <v>0.022607533980582524</v>
      </c>
      <c r="E20" s="39">
        <v>1995.2</v>
      </c>
      <c r="F20" s="39">
        <v>7.39</v>
      </c>
      <c r="G20" s="150">
        <v>1963.57</v>
      </c>
      <c r="H20" s="148">
        <f>I20+J20+K20</f>
        <v>45.10655179805825</v>
      </c>
      <c r="I20" s="150">
        <f>E21*D20</f>
        <v>0.5480066236893203</v>
      </c>
      <c r="J20" s="39">
        <f>F20*D20</f>
        <v>0.16706967611650483</v>
      </c>
      <c r="K20" s="148">
        <f>G20*D20</f>
        <v>44.391475498252426</v>
      </c>
      <c r="L20" s="148">
        <v>2.673</v>
      </c>
      <c r="M20" s="148">
        <f>D20*L20</f>
        <v>0.06042993833009709</v>
      </c>
    </row>
    <row r="21" spans="1:13" ht="48.75" customHeight="1">
      <c r="A21" s="142"/>
      <c r="B21" s="155"/>
      <c r="C21" s="157"/>
      <c r="D21" s="140"/>
      <c r="E21" s="39">
        <v>24.24</v>
      </c>
      <c r="F21" s="39">
        <v>0.22</v>
      </c>
      <c r="G21" s="151"/>
      <c r="H21" s="149"/>
      <c r="I21" s="151"/>
      <c r="J21" s="58">
        <f>F21*D20</f>
        <v>0.004973657475728155</v>
      </c>
      <c r="K21" s="149"/>
      <c r="L21" s="149"/>
      <c r="M21" s="149"/>
    </row>
    <row r="22" spans="1:17" s="63" customFormat="1" ht="48.75" customHeight="1">
      <c r="A22" s="158" t="s">
        <v>47</v>
      </c>
      <c r="B22" s="160" t="s">
        <v>61</v>
      </c>
      <c r="C22" s="162" t="s">
        <v>72</v>
      </c>
      <c r="D22" s="139">
        <f>'Ввод данных'!B21/(1+'Ввод данных'!B20)*1.2/10000</f>
        <v>0.35324271844660193</v>
      </c>
      <c r="E22" s="68">
        <v>438.77</v>
      </c>
      <c r="F22" s="68">
        <v>116.27</v>
      </c>
      <c r="G22" s="137"/>
      <c r="H22" s="132">
        <f>K22+J22+I22</f>
        <v>154.99230757281552</v>
      </c>
      <c r="I22" s="132">
        <f>D22*E23</f>
        <v>113.92077669902912</v>
      </c>
      <c r="J22" s="70">
        <f>D22*F22</f>
        <v>41.07153087378641</v>
      </c>
      <c r="K22" s="137"/>
      <c r="L22" s="132">
        <v>36.4</v>
      </c>
      <c r="M22" s="132">
        <f>D22*L22</f>
        <v>12.85803495145631</v>
      </c>
      <c r="N22" s="62"/>
      <c r="O22" s="62"/>
      <c r="P22" s="62"/>
      <c r="Q22" s="62"/>
    </row>
    <row r="23" spans="1:17" s="63" customFormat="1" ht="48.75" customHeight="1">
      <c r="A23" s="159"/>
      <c r="B23" s="161"/>
      <c r="C23" s="163"/>
      <c r="D23" s="140"/>
      <c r="E23" s="68">
        <v>322.5</v>
      </c>
      <c r="F23" s="68">
        <v>16.2</v>
      </c>
      <c r="G23" s="138"/>
      <c r="H23" s="133"/>
      <c r="I23" s="133"/>
      <c r="J23" s="69">
        <f>D22*F23</f>
        <v>5.722532038834951</v>
      </c>
      <c r="K23" s="138"/>
      <c r="L23" s="133"/>
      <c r="M23" s="133"/>
      <c r="N23" s="62"/>
      <c r="O23" s="62"/>
      <c r="P23" s="62"/>
      <c r="Q23" s="62"/>
    </row>
    <row r="24" spans="1:17" s="63" customFormat="1" ht="39.75" customHeight="1">
      <c r="A24" s="158" t="s">
        <v>66</v>
      </c>
      <c r="B24" s="195" t="s">
        <v>63</v>
      </c>
      <c r="C24" s="162" t="s">
        <v>64</v>
      </c>
      <c r="D24" s="134">
        <f>'Ввод данных'!B21/(1+'Ввод данных'!B20)*0.07*1.05/100</f>
        <v>2.1636116504854375</v>
      </c>
      <c r="E24" s="68">
        <v>116.61</v>
      </c>
      <c r="F24" s="71"/>
      <c r="G24" s="135">
        <v>116.61</v>
      </c>
      <c r="H24" s="132">
        <f>I24+J24+K24</f>
        <v>252.29875456310685</v>
      </c>
      <c r="I24" s="135"/>
      <c r="J24" s="69"/>
      <c r="K24" s="132">
        <f>D24*G24</f>
        <v>252.29875456310685</v>
      </c>
      <c r="L24" s="137"/>
      <c r="M24" s="137"/>
      <c r="N24" s="62"/>
      <c r="O24" s="62"/>
      <c r="P24" s="62"/>
      <c r="Q24" s="62"/>
    </row>
    <row r="25" spans="1:17" s="63" customFormat="1" ht="39.75" customHeight="1">
      <c r="A25" s="159"/>
      <c r="B25" s="196"/>
      <c r="C25" s="163"/>
      <c r="D25" s="120"/>
      <c r="E25" s="71"/>
      <c r="F25" s="71"/>
      <c r="G25" s="136"/>
      <c r="H25" s="133"/>
      <c r="I25" s="136"/>
      <c r="J25" s="69"/>
      <c r="K25" s="133"/>
      <c r="L25" s="138"/>
      <c r="M25" s="138"/>
      <c r="N25" s="62"/>
      <c r="O25" s="62"/>
      <c r="P25" s="62"/>
      <c r="Q25" s="62"/>
    </row>
    <row r="26" spans="1:13" ht="22.5" customHeight="1">
      <c r="A26" s="166" t="s">
        <v>42</v>
      </c>
      <c r="B26" s="167"/>
      <c r="C26" s="167"/>
      <c r="D26" s="167"/>
      <c r="E26" s="167"/>
      <c r="F26" s="167"/>
      <c r="G26" s="168"/>
      <c r="H26" s="153">
        <f>I26+J26+K26</f>
        <v>407.2910621359224</v>
      </c>
      <c r="I26" s="153">
        <f>I22</f>
        <v>113.92077669902912</v>
      </c>
      <c r="J26" s="41">
        <f>J22</f>
        <v>41.07153087378641</v>
      </c>
      <c r="K26" s="153">
        <f>K24</f>
        <v>252.29875456310685</v>
      </c>
      <c r="L26" s="152"/>
      <c r="M26" s="153">
        <f>SUM(M20:M25)</f>
        <v>12.918464889786407</v>
      </c>
    </row>
    <row r="27" spans="1:13" ht="12.75">
      <c r="A27" s="169"/>
      <c r="B27" s="170"/>
      <c r="C27" s="170"/>
      <c r="D27" s="170"/>
      <c r="E27" s="170"/>
      <c r="F27" s="170"/>
      <c r="G27" s="171"/>
      <c r="H27" s="151"/>
      <c r="I27" s="151"/>
      <c r="J27" s="39">
        <f>J23</f>
        <v>5.722532038834951</v>
      </c>
      <c r="K27" s="151"/>
      <c r="L27" s="147"/>
      <c r="M27" s="151"/>
    </row>
    <row r="28" spans="1:13" ht="12.75">
      <c r="A28" s="201" t="s">
        <v>27</v>
      </c>
      <c r="B28" s="202"/>
      <c r="C28" s="202"/>
      <c r="D28" s="202"/>
      <c r="E28" s="202"/>
      <c r="F28" s="202"/>
      <c r="G28" s="202"/>
      <c r="H28" s="40">
        <f>0.9*(E21+F21)*D20+0.89*(E23+F23)*D22</f>
        <v>106.98022702974755</v>
      </c>
      <c r="I28" s="44"/>
      <c r="J28" s="44"/>
      <c r="K28" s="44"/>
      <c r="L28" s="44"/>
      <c r="M28" s="44"/>
    </row>
    <row r="29" spans="1:13" ht="12.75">
      <c r="A29" s="201" t="s">
        <v>28</v>
      </c>
      <c r="B29" s="202"/>
      <c r="C29" s="202"/>
      <c r="D29" s="202"/>
      <c r="E29" s="202"/>
      <c r="F29" s="202"/>
      <c r="G29" s="202"/>
      <c r="H29" s="40">
        <f>0.7*(E23+F23)*D20+0.7*(E23+F23)*D22</f>
        <v>89.11033634796115</v>
      </c>
      <c r="I29" s="44"/>
      <c r="J29" s="44"/>
      <c r="K29" s="44"/>
      <c r="L29" s="44"/>
      <c r="M29" s="44"/>
    </row>
    <row r="30" spans="1:13" ht="12.75">
      <c r="A30" s="203" t="s">
        <v>29</v>
      </c>
      <c r="B30" s="202"/>
      <c r="C30" s="202"/>
      <c r="D30" s="202"/>
      <c r="E30" s="202"/>
      <c r="F30" s="202"/>
      <c r="G30" s="202"/>
      <c r="H30" s="45">
        <f>H26+H28+H29</f>
        <v>603.3816255136311</v>
      </c>
      <c r="I30" s="46"/>
      <c r="J30" s="44"/>
      <c r="K30" s="44"/>
      <c r="L30" s="44"/>
      <c r="M30" s="47">
        <f>M26</f>
        <v>12.918464889786407</v>
      </c>
    </row>
    <row r="31" spans="1:13" ht="12.75">
      <c r="A31" s="201" t="s">
        <v>30</v>
      </c>
      <c r="B31" s="202"/>
      <c r="C31" s="202"/>
      <c r="D31" s="202"/>
      <c r="E31" s="202"/>
      <c r="F31" s="202"/>
      <c r="G31" s="202"/>
      <c r="H31" s="44"/>
      <c r="I31" s="44"/>
      <c r="J31" s="44"/>
      <c r="K31" s="44"/>
      <c r="L31" s="44"/>
      <c r="M31" s="48"/>
    </row>
    <row r="32" spans="1:13" ht="12.75">
      <c r="A32" s="201" t="s">
        <v>31</v>
      </c>
      <c r="B32" s="202"/>
      <c r="C32" s="202"/>
      <c r="D32" s="202"/>
      <c r="E32" s="202"/>
      <c r="F32" s="202"/>
      <c r="G32" s="202"/>
      <c r="H32" s="40">
        <f>K26</f>
        <v>252.29875456310685</v>
      </c>
      <c r="I32" s="44"/>
      <c r="J32" s="44"/>
      <c r="K32" s="44"/>
      <c r="L32" s="44"/>
      <c r="M32" s="48"/>
    </row>
    <row r="33" spans="1:13" ht="12.75">
      <c r="A33" s="201" t="s">
        <v>32</v>
      </c>
      <c r="B33" s="202"/>
      <c r="C33" s="202"/>
      <c r="D33" s="202"/>
      <c r="E33" s="202"/>
      <c r="F33" s="202"/>
      <c r="G33" s="202"/>
      <c r="H33" s="40">
        <f>J26</f>
        <v>41.07153087378641</v>
      </c>
      <c r="I33" s="44"/>
      <c r="J33" s="44"/>
      <c r="K33" s="44"/>
      <c r="L33" s="44"/>
      <c r="M33" s="48"/>
    </row>
    <row r="34" spans="1:13" ht="12.75">
      <c r="A34" s="201" t="s">
        <v>33</v>
      </c>
      <c r="B34" s="202"/>
      <c r="C34" s="202"/>
      <c r="D34" s="202"/>
      <c r="E34" s="202"/>
      <c r="F34" s="202"/>
      <c r="G34" s="202"/>
      <c r="H34" s="40">
        <f>I26+J27</f>
        <v>119.64330873786407</v>
      </c>
      <c r="I34" s="44"/>
      <c r="J34" s="44"/>
      <c r="K34" s="44"/>
      <c r="L34" s="44"/>
      <c r="M34" s="48"/>
    </row>
    <row r="35" spans="1:13" ht="12.75">
      <c r="A35" s="201" t="s">
        <v>34</v>
      </c>
      <c r="B35" s="202"/>
      <c r="C35" s="202"/>
      <c r="D35" s="202"/>
      <c r="E35" s="202"/>
      <c r="F35" s="202"/>
      <c r="G35" s="202"/>
      <c r="H35" s="40">
        <f>H28</f>
        <v>106.98022702974755</v>
      </c>
      <c r="I35" s="44"/>
      <c r="J35" s="44"/>
      <c r="K35" s="44"/>
      <c r="L35" s="44"/>
      <c r="M35" s="48"/>
    </row>
    <row r="36" spans="1:13" ht="12.75">
      <c r="A36" s="201" t="s">
        <v>35</v>
      </c>
      <c r="B36" s="202"/>
      <c r="C36" s="202"/>
      <c r="D36" s="202"/>
      <c r="E36" s="202"/>
      <c r="F36" s="202"/>
      <c r="G36" s="202"/>
      <c r="H36" s="40">
        <f>H29</f>
        <v>89.11033634796115</v>
      </c>
      <c r="I36" s="44"/>
      <c r="J36" s="44"/>
      <c r="K36" s="44"/>
      <c r="L36" s="44"/>
      <c r="M36" s="48"/>
    </row>
    <row r="37" spans="1:13" ht="12.75">
      <c r="A37" s="203" t="s">
        <v>36</v>
      </c>
      <c r="B37" s="202"/>
      <c r="C37" s="202"/>
      <c r="D37" s="202"/>
      <c r="E37" s="202"/>
      <c r="F37" s="202"/>
      <c r="G37" s="202"/>
      <c r="H37" s="49">
        <f>H30</f>
        <v>603.3816255136311</v>
      </c>
      <c r="I37" s="44"/>
      <c r="J37" s="44"/>
      <c r="K37" s="44"/>
      <c r="L37" s="44"/>
      <c r="M37" s="47">
        <f>M26</f>
        <v>12.918464889786407</v>
      </c>
    </row>
    <row r="38" spans="6:8" ht="12.75">
      <c r="F38" s="7"/>
      <c r="G38" s="51" t="s">
        <v>146</v>
      </c>
      <c r="H38" s="49">
        <f>H37/'Ввод данных'!B5/'Ввод данных'!B12</f>
        <v>0.07153776940735952</v>
      </c>
    </row>
    <row r="39" spans="7:8" ht="12.75">
      <c r="G39" s="51" t="s">
        <v>145</v>
      </c>
      <c r="H39" s="49">
        <f>H37/('Ввод данных'!B21/IF('Ввод данных'!B17=405,1.03,1.02)*3.5)</f>
        <v>0.05856417963428571</v>
      </c>
    </row>
    <row r="40" ht="12.75">
      <c r="H40" s="50"/>
    </row>
  </sheetData>
  <mergeCells count="66">
    <mergeCell ref="A1:B1"/>
    <mergeCell ref="K1:L1"/>
    <mergeCell ref="B4:L4"/>
    <mergeCell ref="B6:L6"/>
    <mergeCell ref="C15:C17"/>
    <mergeCell ref="D15:D17"/>
    <mergeCell ref="B8:L8"/>
    <mergeCell ref="D10:E10"/>
    <mergeCell ref="D11:E11"/>
    <mergeCell ref="D12:E12"/>
    <mergeCell ref="A19:M19"/>
    <mergeCell ref="E15:G15"/>
    <mergeCell ref="H15:K15"/>
    <mergeCell ref="L15:M16"/>
    <mergeCell ref="G16:G17"/>
    <mergeCell ref="H16:H17"/>
    <mergeCell ref="I16:I17"/>
    <mergeCell ref="K16:K17"/>
    <mergeCell ref="A15:A17"/>
    <mergeCell ref="B15:B17"/>
    <mergeCell ref="G20:G21"/>
    <mergeCell ref="H20:H21"/>
    <mergeCell ref="I20:I21"/>
    <mergeCell ref="K20:K21"/>
    <mergeCell ref="A20:A21"/>
    <mergeCell ref="B20:B21"/>
    <mergeCell ref="C20:C21"/>
    <mergeCell ref="D20:D21"/>
    <mergeCell ref="G22:G23"/>
    <mergeCell ref="H22:H23"/>
    <mergeCell ref="I22:I23"/>
    <mergeCell ref="K22:K23"/>
    <mergeCell ref="A22:A23"/>
    <mergeCell ref="B22:B23"/>
    <mergeCell ref="C22:C23"/>
    <mergeCell ref="D22:D23"/>
    <mergeCell ref="L22:L23"/>
    <mergeCell ref="M22:M23"/>
    <mergeCell ref="L20:L21"/>
    <mergeCell ref="M20:M21"/>
    <mergeCell ref="L24:L25"/>
    <mergeCell ref="M24:M25"/>
    <mergeCell ref="A24:A25"/>
    <mergeCell ref="B24:B25"/>
    <mergeCell ref="C24:C25"/>
    <mergeCell ref="D24:D25"/>
    <mergeCell ref="G24:G25"/>
    <mergeCell ref="H24:H25"/>
    <mergeCell ref="I24:I25"/>
    <mergeCell ref="K24:K25"/>
    <mergeCell ref="L26:L27"/>
    <mergeCell ref="M26:M27"/>
    <mergeCell ref="A28:G28"/>
    <mergeCell ref="A29:G29"/>
    <mergeCell ref="A26:G27"/>
    <mergeCell ref="H26:H27"/>
    <mergeCell ref="I26:I27"/>
    <mergeCell ref="K26:K27"/>
    <mergeCell ref="A30:G30"/>
    <mergeCell ref="A31:G31"/>
    <mergeCell ref="A32:G32"/>
    <mergeCell ref="A33:G33"/>
    <mergeCell ref="A34:G34"/>
    <mergeCell ref="A35:G35"/>
    <mergeCell ref="A36:G36"/>
    <mergeCell ref="A37:G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Buravleva</dc:creator>
  <cp:keywords/>
  <dc:description/>
  <cp:lastModifiedBy>mdp</cp:lastModifiedBy>
  <cp:lastPrinted>2018-09-10T09:40:15Z</cp:lastPrinted>
  <dcterms:created xsi:type="dcterms:W3CDTF">2002-02-11T05:58:42Z</dcterms:created>
  <dcterms:modified xsi:type="dcterms:W3CDTF">2019-07-31T06:27:39Z</dcterms:modified>
  <cp:category/>
  <cp:version/>
  <cp:contentType/>
  <cp:contentStatus/>
</cp:coreProperties>
</file>